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7935" tabRatio="718" activeTab="0"/>
  </bookViews>
  <sheets>
    <sheet name="SAPQ FGHRS Process Explained " sheetId="1" r:id="rId1"/>
    <sheet name="Select FGHRS" sheetId="2" r:id="rId2"/>
    <sheet name="Calculate_savings" sheetId="3" r:id="rId3"/>
    <sheet name="Photovoltaic Info" sheetId="4" r:id="rId4"/>
    <sheet name="FGHRS_tables" sheetId="5" r:id="rId5"/>
    <sheet name="closecouple" sheetId="6" r:id="rId6"/>
    <sheet name="Changes" sheetId="7" r:id="rId7"/>
  </sheets>
  <definedNames>
    <definedName name="AnyError">'Calculate_savings'!$O$33</definedName>
    <definedName name="box43or37">'Calculate_savings'!$D$26</definedName>
    <definedName name="box44bor66">'Calculate_savings'!$D$27</definedName>
    <definedName name="box47or82">'Calculate_savings'!$D$28</definedName>
    <definedName name="Btype">'Calculate_savings'!$I$2</definedName>
    <definedName name="cc">'Photovoltaic Info'!$C$20</definedName>
    <definedName name="CCQc">'closecouple'!$C$8</definedName>
    <definedName name="ccqst">'closecouple'!$C$9</definedName>
    <definedName name="CCreduction">'closecouple'!$B$46:$E$46</definedName>
    <definedName name="ccTfactor">'closecouple'!$C$4</definedName>
    <definedName name="CCVol">'closecouple'!$C$6</definedName>
    <definedName name="Choice">'Select FGHRS'!$K$4</definedName>
    <definedName name="Condensing" localSheetId="1">'Select FGHRS'!#REF!</definedName>
    <definedName name="Condensing">'Calculate_savings'!$D$18</definedName>
    <definedName name="efactor" localSheetId="1">'Select FGHRS'!#REF!</definedName>
    <definedName name="efactor">'Calculate_savings'!#REF!</definedName>
    <definedName name="eff">'Calculate_savings'!$K$10</definedName>
    <definedName name="Elevation">'Photovoltaic Info'!$C$8</definedName>
    <definedName name="Fr">'Calculate_savings'!$D$35</definedName>
    <definedName name="Gains">'Calculate_savings'!$K$9</definedName>
    <definedName name="hweff">'Calculate_savings'!$D$32</definedName>
    <definedName name="keephot" localSheetId="1">'Select FGHRS'!#REF!</definedName>
    <definedName name="kf">'Calculate_savings'!$I$20</definedName>
    <definedName name="Lcondensing">'Calculate_savings'!$M$35</definedName>
    <definedName name="Lindex">'Calculate_savings'!$J$34</definedName>
    <definedName name="Linputcomplete">'Calculate_savings'!$M$34</definedName>
    <definedName name="Lkeephot">'Calculate_savings'!$M$36</definedName>
    <definedName name="Loss">'Calculate_savings'!$K$8</definedName>
    <definedName name="Ltfa">'Calculate_savings'!$J$35</definedName>
    <definedName name="N">'Calculate_savings'!$I$10</definedName>
    <definedName name="OLE_LINK1" localSheetId="0">'SAPQ FGHRS Process Explained '!#REF!</definedName>
    <definedName name="orient">'Photovoltaic Info'!$C$7</definedName>
    <definedName name="Pindex" localSheetId="1">'Select FGHRS'!#REF!</definedName>
    <definedName name="Pindex">'Calculate_savings'!$J$31</definedName>
    <definedName name="pos" localSheetId="1">'Select FGHRS'!#REF!</definedName>
    <definedName name="pos">'Calculate_savings'!$K$47</definedName>
    <definedName name="Pp">'Photovoltaic Info'!$C$6</definedName>
    <definedName name="price" localSheetId="1">'Select FGHRS'!#REF!</definedName>
    <definedName name="price">'Calculate_savings'!#REF!</definedName>
    <definedName name="_xlnm.Print_Area" localSheetId="2">'Calculate_savings'!$A:$F</definedName>
    <definedName name="_xlnm.Print_Area" localSheetId="0">'SAPQ FGHRS Process Explained '!$A:$M</definedName>
    <definedName name="_xlnm.Print_Area" localSheetId="1">'Select FGHRS'!$A:$M</definedName>
    <definedName name="PVgains">'Photovoltaic Info'!$C$34</definedName>
    <definedName name="PVsolar">'Photovoltaic Info'!$C$30</definedName>
    <definedName name="Qc">'Calculate_savings'!$D$30</definedName>
    <definedName name="Qe">'Calculate_savings'!$D$36</definedName>
    <definedName name="Qhw">'Calculate_savings'!$I$11</definedName>
    <definedName name="QhwL">'Calculate_savings'!$O$44</definedName>
    <definedName name="Qloss">'Calculate_savings'!$I$8</definedName>
    <definedName name="Qprim">'Calculate_savings'!$D$29</definedName>
    <definedName name="Qsolar">'Calculate_savings'!$D$31</definedName>
    <definedName name="Qsp" localSheetId="1">'Select FGHRS'!#REF!</definedName>
    <definedName name="Qsp">'Calculate_savings'!$I$9</definedName>
    <definedName name="QspL" localSheetId="1">'Select FGHRS'!#REF!</definedName>
    <definedName name="QspL">'Calculate_savings'!$K$45</definedName>
    <definedName name="Qst">'Calculate_savings'!$M$10</definedName>
    <definedName name="Qusp">'Calculate_savings'!$D$34</definedName>
    <definedName name="Qwastewater">'Calculate_savings'!$D$33</definedName>
    <definedName name="R0">'Photovoltaic Info'!$C$19</definedName>
    <definedName name="RecognisedList">'Select FGHRS'!$C$6</definedName>
    <definedName name="row">'Photovoltaic Info'!$C$24</definedName>
    <definedName name="savings" localSheetId="1">'Select FGHRS'!#REF!</definedName>
    <definedName name="savings">'Calculate_savings'!$M$17</definedName>
    <definedName name="shading">'Photovoltaic Info'!$C$9</definedName>
    <definedName name="solartable">'Photovoltaic Info'!$B$45:$K$50</definedName>
    <definedName name="table_1.W">'FGHRS_tables'!$G$18:$J$23</definedName>
    <definedName name="table_1.X">'FGHRS_tables'!$B$8:$E$13</definedName>
    <definedName name="table_index" localSheetId="1">'Select FGHRS'!$C$7:$L$30</definedName>
    <definedName name="tfa" localSheetId="1">'Select FGHRS'!#REF!</definedName>
    <definedName name="TFA">'Calculate_savings'!$D$25</definedName>
    <definedName name="Tfactor">'Calculate_savings'!$M$9</definedName>
    <definedName name="TfaL" localSheetId="1">'Select FGHRS'!#REF!</definedName>
    <definedName name="version">'Changes'!$A$10</definedName>
    <definedName name="vol">'Calculate_savings'!$M$8</definedName>
    <definedName name="voltage">'Photovoltaic Info'!$C$13</definedName>
  </definedNames>
  <calcPr fullCalcOnLoad="1"/>
</workbook>
</file>

<file path=xl/comments3.xml><?xml version="1.0" encoding="utf-8"?>
<comments xmlns="http://schemas.openxmlformats.org/spreadsheetml/2006/main">
  <authors>
    <author>John Hayton</author>
  </authors>
  <commentList>
    <comment ref="J31" authorId="0">
      <text>
        <r>
          <rPr>
            <b/>
            <sz val="8"/>
            <rFont val="Tahoma"/>
            <family val="0"/>
          </rPr>
          <t>John Hayton:</t>
        </r>
        <r>
          <rPr>
            <sz val="8"/>
            <rFont val="Tahoma"/>
            <family val="0"/>
          </rPr>
          <t xml:space="preserve">
20 is the number of valid enteries.</t>
        </r>
      </text>
    </comment>
  </commentList>
</comments>
</file>

<file path=xl/comments4.xml><?xml version="1.0" encoding="utf-8"?>
<comments xmlns="http://schemas.openxmlformats.org/spreadsheetml/2006/main">
  <authors>
    <author>John Hayton</author>
  </authors>
  <commentList>
    <comment ref="C20" authorId="0">
      <text>
        <r>
          <rPr>
            <b/>
            <sz val="8"/>
            <rFont val="Tahoma"/>
            <family val="0"/>
          </rPr>
          <t>John Hayton:</t>
        </r>
        <r>
          <rPr>
            <sz val="8"/>
            <rFont val="Tahoma"/>
            <family val="0"/>
          </rPr>
          <t xml:space="preserve">
This forced to 1 when not valid to ensure savings are zero.</t>
        </r>
      </text>
    </comment>
    <comment ref="C26" authorId="0">
      <text>
        <r>
          <rPr>
            <b/>
            <sz val="8"/>
            <rFont val="Tahoma"/>
            <family val="0"/>
          </rPr>
          <t>John Hayton:</t>
        </r>
        <r>
          <rPr>
            <sz val="8"/>
            <rFont val="Tahoma"/>
            <family val="0"/>
          </rPr>
          <t xml:space="preserve">
0.86 as advised A.Peel</t>
        </r>
      </text>
    </comment>
  </commentList>
</comments>
</file>

<file path=xl/sharedStrings.xml><?xml version="1.0" encoding="utf-8"?>
<sst xmlns="http://schemas.openxmlformats.org/spreadsheetml/2006/main" count="840" uniqueCount="382">
  <si>
    <t>SAP Assessment Reference</t>
  </si>
  <si>
    <t>Box Q01</t>
  </si>
  <si>
    <t>Box Q02</t>
  </si>
  <si>
    <t>Box Q03</t>
  </si>
  <si>
    <t>Box Q04</t>
  </si>
  <si>
    <t>Box Q05</t>
  </si>
  <si>
    <t>Box Q06</t>
  </si>
  <si>
    <t>Box Q07</t>
  </si>
  <si>
    <t>Box Q08</t>
  </si>
  <si>
    <t>Box Q09</t>
  </si>
  <si>
    <t>Box Q10</t>
  </si>
  <si>
    <t>a (kWh)</t>
  </si>
  <si>
    <t>b (kWh)</t>
  </si>
  <si>
    <t>Mains gas</t>
  </si>
  <si>
    <t>a</t>
  </si>
  <si>
    <t>b</t>
  </si>
  <si>
    <t>saving</t>
  </si>
  <si>
    <t>Condensing</t>
  </si>
  <si>
    <t>Table range without keephot</t>
  </si>
  <si>
    <t>Qsp</t>
  </si>
  <si>
    <t>kWh</t>
  </si>
  <si>
    <t>Actual</t>
  </si>
  <si>
    <t>Linear interpolation calculations</t>
  </si>
  <si>
    <t>SAP Appendix Q data entry process for</t>
  </si>
  <si>
    <t>Zenex GasSaver</t>
  </si>
  <si>
    <t>GS-1</t>
  </si>
  <si>
    <r>
      <t>Q</t>
    </r>
    <r>
      <rPr>
        <vertAlign val="subscript"/>
        <sz val="8"/>
        <rFont val="Arial"/>
        <family val="0"/>
      </rPr>
      <t>sp</t>
    </r>
  </si>
  <si>
    <t>Brand</t>
  </si>
  <si>
    <t>Model</t>
  </si>
  <si>
    <t>Boiler fuel</t>
  </si>
  <si>
    <t>Index no.</t>
  </si>
  <si>
    <t>Index number chosen:</t>
  </si>
  <si>
    <t>Boiler brand name</t>
  </si>
  <si>
    <t>Boiler model name</t>
  </si>
  <si>
    <t>Nearest below</t>
  </si>
  <si>
    <t>Nearest above</t>
  </si>
  <si>
    <t>UNKNOWN</t>
  </si>
  <si>
    <t>Regular</t>
  </si>
  <si>
    <t>Non-condensing</t>
  </si>
  <si>
    <t>LPG</t>
  </si>
  <si>
    <t>Oil</t>
  </si>
  <si>
    <t>Fuel (select answer from box)</t>
  </si>
  <si>
    <t>Is it a condensing or non-condensing boiler? (select answer from box)</t>
  </si>
  <si>
    <t>Input data complete?</t>
  </si>
  <si>
    <t>Pindex =</t>
  </si>
  <si>
    <t>Condensing?</t>
  </si>
  <si>
    <t>Not a condensing boiler</t>
  </si>
  <si>
    <t>Valid index?</t>
  </si>
  <si>
    <t>Valid Qsp?</t>
  </si>
  <si>
    <t>Linear interpolation fraction =</t>
  </si>
  <si>
    <t>Qsp restricted within limits =</t>
  </si>
  <si>
    <t>Position of nearest below =</t>
  </si>
  <si>
    <t>Table ranges used</t>
  </si>
  <si>
    <t>Error messages (top one prevails)</t>
  </si>
  <si>
    <t>IMPORTANT: do not add or delete rows/columns in this sheet as relative posItions are used in calculations</t>
  </si>
  <si>
    <t>Select an index number from the table and enter in the green cell below</t>
  </si>
  <si>
    <t>Table rangefor other</t>
  </si>
  <si>
    <t>c</t>
  </si>
  <si>
    <r>
      <t>Saving = a ln(Q</t>
    </r>
    <r>
      <rPr>
        <vertAlign val="subscript"/>
        <sz val="11"/>
        <rFont val="Times New Roman"/>
        <family val="1"/>
      </rPr>
      <t>hw</t>
    </r>
    <r>
      <rPr>
        <sz val="11"/>
        <rFont val="Times New Roman"/>
        <family val="1"/>
      </rPr>
      <t>) + b Q</t>
    </r>
    <r>
      <rPr>
        <vertAlign val="subscript"/>
        <sz val="11"/>
        <rFont val="Times New Roman"/>
        <family val="1"/>
      </rPr>
      <t>hw</t>
    </r>
    <r>
      <rPr>
        <sz val="11"/>
        <rFont val="Times New Roman"/>
        <family val="1"/>
      </rPr>
      <t xml:space="preserve"> + c</t>
    </r>
  </si>
  <si>
    <r>
      <t>S = S</t>
    </r>
    <r>
      <rPr>
        <vertAlign val="subscript"/>
        <sz val="11"/>
        <rFont val="Times New Roman"/>
        <family val="1"/>
      </rPr>
      <t>0</t>
    </r>
    <r>
      <rPr>
        <sz val="11"/>
        <rFont val="Times New Roman"/>
        <family val="1"/>
      </rPr>
      <t xml:space="preserve"> + 0.5 K</t>
    </r>
    <r>
      <rPr>
        <vertAlign val="subscript"/>
        <sz val="11"/>
        <rFont val="Times New Roman"/>
        <family val="1"/>
      </rPr>
      <t>f</t>
    </r>
    <r>
      <rPr>
        <sz val="11"/>
        <rFont val="Times New Roman"/>
        <family val="1"/>
      </rPr>
      <t xml:space="preserve"> [Q</t>
    </r>
    <r>
      <rPr>
        <vertAlign val="subscript"/>
        <sz val="11"/>
        <rFont val="Times New Roman"/>
        <family val="1"/>
      </rPr>
      <t>c</t>
    </r>
    <r>
      <rPr>
        <sz val="11"/>
        <rFont val="Times New Roman"/>
        <family val="1"/>
      </rPr>
      <t xml:space="preserve"> – Q</t>
    </r>
    <r>
      <rPr>
        <vertAlign val="subscript"/>
        <sz val="11"/>
        <rFont val="Times New Roman"/>
        <family val="1"/>
      </rPr>
      <t>ce</t>
    </r>
    <r>
      <rPr>
        <sz val="11"/>
        <rFont val="Times New Roman"/>
        <family val="1"/>
      </rPr>
      <t>] ÷ 0.91</t>
    </r>
  </si>
  <si>
    <r>
      <t>S = S</t>
    </r>
    <r>
      <rPr>
        <vertAlign val="subscript"/>
        <sz val="11"/>
        <rFont val="Times New Roman"/>
        <family val="1"/>
      </rPr>
      <t>0</t>
    </r>
    <r>
      <rPr>
        <sz val="11"/>
        <rFont val="Times New Roman"/>
        <family val="1"/>
      </rPr>
      <t xml:space="preserve"> + 0.5 K</t>
    </r>
    <r>
      <rPr>
        <vertAlign val="subscript"/>
        <sz val="11"/>
        <rFont val="Times New Roman"/>
        <family val="1"/>
      </rPr>
      <t>f</t>
    </r>
    <r>
      <rPr>
        <sz val="11"/>
        <rFont val="Times New Roman"/>
        <family val="1"/>
      </rPr>
      <t xml:space="preserve"> [Q</t>
    </r>
    <r>
      <rPr>
        <vertAlign val="subscript"/>
        <sz val="11"/>
        <rFont val="Times New Roman"/>
        <family val="1"/>
      </rPr>
      <t>loss</t>
    </r>
    <r>
      <rPr>
        <sz val="11"/>
        <rFont val="Times New Roman"/>
        <family val="1"/>
      </rPr>
      <t xml:space="preserve"> – (1 – K</t>
    </r>
    <r>
      <rPr>
        <vertAlign val="subscript"/>
        <sz val="11"/>
        <rFont val="Times New Roman"/>
        <family val="1"/>
      </rPr>
      <t>n</t>
    </r>
    <r>
      <rPr>
        <sz val="11"/>
        <rFont val="Times New Roman"/>
        <family val="1"/>
      </rPr>
      <t>) Q</t>
    </r>
    <r>
      <rPr>
        <vertAlign val="subscript"/>
        <sz val="11"/>
        <rFont val="Times New Roman"/>
        <family val="1"/>
      </rPr>
      <t>hw</t>
    </r>
    <r>
      <rPr>
        <sz val="11"/>
        <rFont val="Times New Roman"/>
        <family val="1"/>
      </rPr>
      <t>] ÷ 0.91</t>
    </r>
  </si>
  <si>
    <r>
      <t>K</t>
    </r>
    <r>
      <rPr>
        <vertAlign val="subscript"/>
        <sz val="11"/>
        <rFont val="Times New Roman"/>
        <family val="1"/>
      </rPr>
      <t>n</t>
    </r>
    <r>
      <rPr>
        <sz val="11"/>
        <rFont val="Times New Roman"/>
        <family val="1"/>
      </rPr>
      <t xml:space="preserve"> = 0</t>
    </r>
  </si>
  <si>
    <r>
      <t>if V</t>
    </r>
    <r>
      <rPr>
        <vertAlign val="subscript"/>
        <sz val="11"/>
        <rFont val="Times New Roman"/>
        <family val="1"/>
      </rPr>
      <t>k</t>
    </r>
    <r>
      <rPr>
        <sz val="11"/>
        <rFont val="Times New Roman"/>
        <family val="1"/>
      </rPr>
      <t xml:space="preserve"> </t>
    </r>
    <r>
      <rPr>
        <sz val="11"/>
        <rFont val="Symbol"/>
        <family val="1"/>
      </rPr>
      <t>³</t>
    </r>
    <r>
      <rPr>
        <sz val="11"/>
        <rFont val="Times New Roman"/>
        <family val="1"/>
      </rPr>
      <t xml:space="preserve"> 144</t>
    </r>
  </si>
  <si>
    <r>
      <t>K</t>
    </r>
    <r>
      <rPr>
        <vertAlign val="subscript"/>
        <sz val="11"/>
        <rFont val="Times New Roman"/>
        <family val="1"/>
      </rPr>
      <t>n</t>
    </r>
    <r>
      <rPr>
        <sz val="11"/>
        <rFont val="Times New Roman"/>
        <family val="1"/>
      </rPr>
      <t xml:space="preserve"> = 0.48 – V</t>
    </r>
    <r>
      <rPr>
        <vertAlign val="subscript"/>
        <sz val="11"/>
        <rFont val="Times New Roman"/>
        <family val="1"/>
      </rPr>
      <t>k</t>
    </r>
    <r>
      <rPr>
        <sz val="11"/>
        <rFont val="Times New Roman"/>
        <family val="1"/>
      </rPr>
      <t xml:space="preserve"> ÷ 300</t>
    </r>
  </si>
  <si>
    <r>
      <t xml:space="preserve">if 75 </t>
    </r>
    <r>
      <rPr>
        <sz val="11"/>
        <rFont val="Symbol"/>
        <family val="1"/>
      </rPr>
      <t>£</t>
    </r>
    <r>
      <rPr>
        <sz val="11"/>
        <rFont val="Times New Roman"/>
        <family val="1"/>
      </rPr>
      <t xml:space="preserve"> V</t>
    </r>
    <r>
      <rPr>
        <vertAlign val="subscript"/>
        <sz val="11"/>
        <rFont val="Times New Roman"/>
        <family val="1"/>
      </rPr>
      <t>k</t>
    </r>
    <r>
      <rPr>
        <sz val="11"/>
        <rFont val="Times New Roman"/>
        <family val="1"/>
      </rPr>
      <t xml:space="preserve"> &lt; 144</t>
    </r>
  </si>
  <si>
    <r>
      <t>K</t>
    </r>
    <r>
      <rPr>
        <vertAlign val="subscript"/>
        <sz val="11"/>
        <rFont val="Times New Roman"/>
        <family val="1"/>
      </rPr>
      <t>n</t>
    </r>
    <r>
      <rPr>
        <sz val="11"/>
        <rFont val="Times New Roman"/>
        <family val="1"/>
      </rPr>
      <t xml:space="preserve"> = 1.1925 – 0.77 V</t>
    </r>
    <r>
      <rPr>
        <vertAlign val="subscript"/>
        <sz val="11"/>
        <rFont val="Times New Roman"/>
        <family val="1"/>
      </rPr>
      <t>k</t>
    </r>
    <r>
      <rPr>
        <sz val="11"/>
        <rFont val="Times New Roman"/>
        <family val="1"/>
      </rPr>
      <t xml:space="preserve"> ÷ 60</t>
    </r>
  </si>
  <si>
    <r>
      <t>if 15 &lt; V</t>
    </r>
    <r>
      <rPr>
        <vertAlign val="subscript"/>
        <sz val="11"/>
        <rFont val="Times New Roman"/>
        <family val="1"/>
      </rPr>
      <t>k</t>
    </r>
    <r>
      <rPr>
        <sz val="11"/>
        <rFont val="Times New Roman"/>
        <family val="1"/>
      </rPr>
      <t xml:space="preserve"> &lt; 75</t>
    </r>
  </si>
  <si>
    <r>
      <t>K</t>
    </r>
    <r>
      <rPr>
        <vertAlign val="subscript"/>
        <sz val="11"/>
        <rFont val="Times New Roman"/>
        <family val="1"/>
      </rPr>
      <t>n</t>
    </r>
    <r>
      <rPr>
        <sz val="11"/>
        <rFont val="Times New Roman"/>
        <family val="1"/>
      </rPr>
      <t xml:space="preserve"> = 1</t>
    </r>
  </si>
  <si>
    <r>
      <t>if V</t>
    </r>
    <r>
      <rPr>
        <vertAlign val="subscript"/>
        <sz val="11"/>
        <rFont val="Times New Roman"/>
        <family val="1"/>
      </rPr>
      <t>k</t>
    </r>
    <r>
      <rPr>
        <sz val="11"/>
        <rFont val="Times New Roman"/>
        <family val="1"/>
      </rPr>
      <t xml:space="preserve"> </t>
    </r>
    <r>
      <rPr>
        <sz val="11"/>
        <rFont val="Symbol"/>
        <family val="1"/>
      </rPr>
      <t>£</t>
    </r>
    <r>
      <rPr>
        <sz val="11"/>
        <rFont val="Times New Roman"/>
        <family val="1"/>
      </rPr>
      <t xml:space="preserve"> 15</t>
    </r>
  </si>
  <si>
    <r>
      <t>V</t>
    </r>
    <r>
      <rPr>
        <vertAlign val="subscript"/>
        <sz val="11"/>
        <rFont val="Times New Roman"/>
        <family val="1"/>
      </rPr>
      <t>k</t>
    </r>
    <r>
      <rPr>
        <sz val="11"/>
        <rFont val="Times New Roman"/>
        <family val="1"/>
      </rPr>
      <t xml:space="preserve"> is the storage volume in the case of a regular boiler or a secondary storage combi</t>
    </r>
  </si>
  <si>
    <t>(4)</t>
  </si>
  <si>
    <t>(5)</t>
  </si>
  <si>
    <t>(3)</t>
  </si>
  <si>
    <t>(6)</t>
  </si>
  <si>
    <t>kf</t>
  </si>
  <si>
    <t>Box Q11</t>
  </si>
  <si>
    <t>Kn (coincidence factor)</t>
  </si>
  <si>
    <t>All Other</t>
  </si>
  <si>
    <t>Vk (volume of store x 1 or 1.3 (primary)</t>
  </si>
  <si>
    <t>combi no keep hot?</t>
  </si>
  <si>
    <t>Instant combi with keep hot</t>
  </si>
  <si>
    <t>c (kWh)</t>
  </si>
  <si>
    <t>Storage and Regular</t>
  </si>
  <si>
    <t>Box Q12</t>
  </si>
  <si>
    <t>Box Q13</t>
  </si>
  <si>
    <t>combi no KH</t>
  </si>
  <si>
    <t>Vk is 1.3 times the storage volume in the case of a primary storage combi or a CPSU</t>
  </si>
  <si>
    <t>Qw</t>
  </si>
  <si>
    <t>N</t>
  </si>
  <si>
    <t>Primary store</t>
  </si>
  <si>
    <t>Box Q14</t>
  </si>
  <si>
    <t>Box Q15</t>
  </si>
  <si>
    <t>Valid TFA?</t>
  </si>
  <si>
    <r>
      <t>Total floor area not valid must be 30 m</t>
    </r>
    <r>
      <rPr>
        <vertAlign val="superscript"/>
        <sz val="8"/>
        <rFont val="Arial"/>
        <family val="2"/>
      </rPr>
      <t>2</t>
    </r>
    <r>
      <rPr>
        <sz val="8"/>
        <rFont val="Arial"/>
        <family val="0"/>
      </rPr>
      <t xml:space="preserve"> or more</t>
    </r>
  </si>
  <si>
    <t>FGHRS brand name</t>
  </si>
  <si>
    <t>FGHRS model name</t>
  </si>
  <si>
    <t>Step 2 : Identify boiler and enter details in green cells below. Fuel and boiler type must match those for which the FGHRS is applicable, otherwise no savings will be credited.</t>
  </si>
  <si>
    <t>FGHRS unsuitable for boiler fuel</t>
  </si>
  <si>
    <t>Qloss</t>
  </si>
  <si>
    <t>Box Q16</t>
  </si>
  <si>
    <t>Box Q17</t>
  </si>
  <si>
    <t>This FGHRS is intended for use with a boiler using the fuel</t>
  </si>
  <si>
    <t>Combi (storage)</t>
  </si>
  <si>
    <t>Combi instantaneous - with a keep hot facility</t>
  </si>
  <si>
    <t>Combi instantaneous - no keep hot facility</t>
  </si>
  <si>
    <t>Primary loss answers</t>
  </si>
  <si>
    <t>Primary pipe loss (Q09) must be zero for combi boilers or 1220, 610 or 360 for regular boilers</t>
  </si>
  <si>
    <t xml:space="preserve">Input data incomplete, check all boxes Q02 to Q14 are filled in. </t>
  </si>
  <si>
    <t>Temperature factor (Q07) outside valid range for a storage combi (0.6 to 0.76 or 0.82 to 1.04)</t>
  </si>
  <si>
    <t>The store volume (Q06) and the store heat loss (Q08) must be both zero or both positive.</t>
  </si>
  <si>
    <t>Saving (in kWh) =  a ln(X)+ b X + C (X is hot water requirement )</t>
  </si>
  <si>
    <t>FGHRS index number (taken from "Select FGHRS")</t>
  </si>
  <si>
    <t>‡ A value must be entered even if it is zero. If the SAP calculator box is blank enter zero also.</t>
  </si>
  <si>
    <t>§ If unsure of boiler type: if Q09 = 0 and Q08 &gt; 0 then it is storage combi.  For keep-hot status check your SAP calculator water heating section.</t>
  </si>
  <si>
    <t>Step 1 : Record details of FGHRS (NB: Select the brand and model on worksheet "Select FGHRS")</t>
  </si>
  <si>
    <r>
      <t xml:space="preserve">SAP Appendix Q calculation process for
</t>
    </r>
    <r>
      <rPr>
        <b/>
        <sz val="10"/>
        <color indexed="9"/>
        <rFont val="Arial"/>
        <family val="2"/>
      </rPr>
      <t>Flue Gas Heat Recovery System (FGHRS) or Passive Flue Gas Heat Recovery Device (PFGHRD)</t>
    </r>
  </si>
  <si>
    <r>
      <t xml:space="preserve">Flue Gas Heat Recovery Systems (FGHRS)
</t>
    </r>
    <r>
      <rPr>
        <sz val="14"/>
        <color indexed="9"/>
        <rFont val="Arial"/>
        <family val="2"/>
      </rPr>
      <t>and Passive Flue Gas Heat Recovery Devices (PFGHRD)</t>
    </r>
  </si>
  <si>
    <t>Select a recognised FGHRS or PFGHRD and boiler combination</t>
  </si>
  <si>
    <t xml:space="preserve">Table of recognised FGHRS and PFGHRD and boiler combinations                                            </t>
  </si>
  <si>
    <t>Ravenheat EnergyCatcher</t>
  </si>
  <si>
    <t>A0-1</t>
  </si>
  <si>
    <t>B1-1</t>
  </si>
  <si>
    <t>Ravenheat/A0-1/LPG</t>
  </si>
  <si>
    <t>Ravenheat/A0-1/NG</t>
  </si>
  <si>
    <t>Zenex/GS-1/NG</t>
  </si>
  <si>
    <t>Zenex/GS-1/LPG</t>
  </si>
  <si>
    <t>Other combi and boiler types</t>
  </si>
  <si>
    <t>Combi no keephot</t>
  </si>
  <si>
    <t>Ravenheat/B1-1/NG</t>
  </si>
  <si>
    <t>Boiler type not selected - select one in Qu03</t>
  </si>
  <si>
    <t>GLR</t>
  </si>
  <si>
    <t>Useful gains</t>
  </si>
  <si>
    <t>Revised gains</t>
  </si>
  <si>
    <t>Revised utilisation factor</t>
  </si>
  <si>
    <t>Revised GLR</t>
  </si>
  <si>
    <t>Revised MIT</t>
  </si>
  <si>
    <t>Revised useful gains</t>
  </si>
  <si>
    <t>Revised useful gain/ loss</t>
  </si>
  <si>
    <t>Degree-days</t>
  </si>
  <si>
    <t xml:space="preserve">Table 2 SAP </t>
  </si>
  <si>
    <t>Useful gains/loss</t>
  </si>
  <si>
    <t>Primary pipe losses</t>
  </si>
  <si>
    <t>* Assume none as 1.5m or less of insulated pipework</t>
  </si>
  <si>
    <t>* 80% of storage loss and 25% of combi loss potentially useful</t>
  </si>
  <si>
    <t>kWh/24hr</t>
  </si>
  <si>
    <t>kWh/yr</t>
  </si>
  <si>
    <t>litres</t>
  </si>
  <si>
    <t xml:space="preserve">Daily usage </t>
  </si>
  <si>
    <t>litres/day</t>
  </si>
  <si>
    <t>* assumes instant combi with no keep hot as base case see table 3b</t>
  </si>
  <si>
    <t>Degree-day row</t>
  </si>
  <si>
    <t>Space heating requirement</t>
  </si>
  <si>
    <t>Revised Base temp</t>
  </si>
  <si>
    <t>Revised degree-day linear interpolation fraction</t>
  </si>
  <si>
    <t>Revised Degree-days</t>
  </si>
  <si>
    <t>W</t>
  </si>
  <si>
    <t>K</t>
  </si>
  <si>
    <t>C</t>
  </si>
  <si>
    <t>row from top</t>
  </si>
  <si>
    <t>fraction</t>
  </si>
  <si>
    <t>Deg C days</t>
  </si>
  <si>
    <t>Fraction</t>
  </si>
  <si>
    <t>Utilasation factor</t>
  </si>
  <si>
    <t>Deg C Days</t>
  </si>
  <si>
    <t>Linear interpolation fraction</t>
  </si>
  <si>
    <t>Row number from top of deg-day table</t>
  </si>
  <si>
    <t>* find near table below of equal to degree-day value</t>
  </si>
  <si>
    <t>Base Temp</t>
  </si>
  <si>
    <t>* box 67</t>
  </si>
  <si>
    <t>* box 68</t>
  </si>
  <si>
    <t>* box 69</t>
  </si>
  <si>
    <t>* box (69)/box(37)</t>
  </si>
  <si>
    <t>* box (81)</t>
  </si>
  <si>
    <t>* fraction between two nearest degree-day values</t>
  </si>
  <si>
    <t>* add in combi/storage loss</t>
  </si>
  <si>
    <t>Revised Space heating requirement</t>
  </si>
  <si>
    <t>* box 79</t>
  </si>
  <si>
    <t>* box 80</t>
  </si>
  <si>
    <t>* Uses MIT above plus difference due to box 72 only as this is the only part that varies with gains between boxes 70 and 77</t>
  </si>
  <si>
    <t xml:space="preserve">* reverse of line 81 </t>
  </si>
  <si>
    <t>* Reverse of line (80)</t>
  </si>
  <si>
    <t>* Reverse lines of (78) and (79)</t>
  </si>
  <si>
    <t>Mean Internal temperature</t>
  </si>
  <si>
    <t>vol</t>
  </si>
  <si>
    <t>Loss</t>
  </si>
  <si>
    <t xml:space="preserve">Efficiency </t>
  </si>
  <si>
    <t>Gains or temp factor</t>
  </si>
  <si>
    <t>temp factor</t>
  </si>
  <si>
    <t>Change in whole building heating requirement</t>
  </si>
  <si>
    <t>Step 5 : Results from the energy saving calculation are shown in the yellow boxes below. Copy them into the Special Features section of the SAP calculator, as indicated.</t>
  </si>
  <si>
    <r>
      <t>Energy saved (kWh), to be entered in</t>
    </r>
    <r>
      <rPr>
        <b/>
        <sz val="10"/>
        <color indexed="10"/>
        <rFont val="Arial"/>
        <family val="2"/>
      </rPr>
      <t xml:space="preserve"> box (95)</t>
    </r>
  </si>
  <si>
    <t>Fuel for the above</t>
  </si>
  <si>
    <r>
      <t>Additional energy consumed (kWh), to be entered in</t>
    </r>
    <r>
      <rPr>
        <b/>
        <sz val="10"/>
        <color indexed="10"/>
        <rFont val="Arial"/>
        <family val="2"/>
      </rPr>
      <t xml:space="preserve"> box (96)</t>
    </r>
  </si>
  <si>
    <t>Box Q18</t>
  </si>
  <si>
    <t>This list is used as validity check and must remain in this order</t>
  </si>
  <si>
    <t>index</t>
  </si>
  <si>
    <t>This part is necessary to obtain the mean internal temperature (avoids having to ask for it) and is calculated from space heating requirement and gains and losses input overleaf)</t>
  </si>
  <si>
    <t>Change in main heating consumption</t>
  </si>
  <si>
    <t>* Assumes CC tank control by thermostat set at 65C and Clock - Table 2b SAP</t>
  </si>
  <si>
    <t>* Volume of CC store - assumed fixed to instant combi only</t>
  </si>
  <si>
    <t>* water heating increase minus space heating reduction</t>
  </si>
  <si>
    <t>Change in secondary heating consumption</t>
  </si>
  <si>
    <t>* Ignored saving as don't know whether gas or electric</t>
  </si>
  <si>
    <t>* Box 81 new value used in lookup function</t>
  </si>
  <si>
    <t>direct factor</t>
  </si>
  <si>
    <t>Ccvol</t>
  </si>
  <si>
    <t>ccloss(kWh/day)</t>
  </si>
  <si>
    <r>
      <t>Total floor area (m</t>
    </r>
    <r>
      <rPr>
        <vertAlign val="superscript"/>
        <sz val="8"/>
        <rFont val="Arial"/>
        <family val="2"/>
      </rPr>
      <t>2</t>
    </r>
    <r>
      <rPr>
        <sz val="8"/>
        <rFont val="Arial"/>
        <family val="0"/>
      </rPr>
      <t>)</t>
    </r>
  </si>
  <si>
    <t>box (5)</t>
  </si>
  <si>
    <t xml:space="preserve">box (48) </t>
  </si>
  <si>
    <t>box (49)</t>
  </si>
  <si>
    <t>box (81)</t>
  </si>
  <si>
    <t>box (82)</t>
  </si>
  <si>
    <r>
      <t xml:space="preserve">Combi loss (kWh/year), if any, </t>
    </r>
    <r>
      <rPr>
        <sz val="10"/>
        <rFont val="Arial"/>
        <family val="2"/>
      </rPr>
      <t xml:space="preserve"> ‡</t>
    </r>
  </si>
  <si>
    <t>Space heating requirement (useful)</t>
  </si>
  <si>
    <r>
      <t>Electricity used by keep hot facilty</t>
    </r>
    <r>
      <rPr>
        <sz val="10"/>
        <rFont val="Arial"/>
        <family val="2"/>
      </rPr>
      <t xml:space="preserve"> ‡</t>
    </r>
  </si>
  <si>
    <r>
      <t xml:space="preserve">Fraction of heat from secondary/supplementary system </t>
    </r>
    <r>
      <rPr>
        <sz val="10"/>
        <rFont val="Arial"/>
        <family val="2"/>
      </rPr>
      <t>‡</t>
    </r>
  </si>
  <si>
    <t>CC Store loss (daily)</t>
  </si>
  <si>
    <t>Table 2b</t>
  </si>
  <si>
    <r>
      <t>Additonal</t>
    </r>
    <r>
      <rPr>
        <sz val="10"/>
        <rFont val="Arial"/>
        <family val="0"/>
      </rPr>
      <t xml:space="preserve"> Combi loss</t>
    </r>
  </si>
  <si>
    <t xml:space="preserve">* assumes instant combi so add CC tank control by thermostat set at 65C and Clock </t>
  </si>
  <si>
    <t>This part estimates the change in space heating requirement of the main heating system due to extra store losses</t>
  </si>
  <si>
    <t>CC Store loss (annual)</t>
  </si>
  <si>
    <t>This part calculates the extra losses introduced by the closed coupled store and consequent extra water heating required and internal gains</t>
  </si>
  <si>
    <t>CC Store volume</t>
  </si>
  <si>
    <t>* Measured value in coefficient database not per litre</t>
  </si>
  <si>
    <r>
      <t>Primary circuit heat loss (kWh/year)</t>
    </r>
    <r>
      <rPr>
        <b/>
        <sz val="10"/>
        <rFont val="Arial"/>
        <family val="2"/>
      </rPr>
      <t xml:space="preserve"> </t>
    </r>
    <r>
      <rPr>
        <sz val="8"/>
        <rFont val="Arial"/>
        <family val="2"/>
      </rPr>
      <t xml:space="preserve">(select from answer from drop downbox) </t>
    </r>
    <r>
      <rPr>
        <sz val="10"/>
        <rFont val="Arial"/>
        <family val="2"/>
      </rPr>
      <t xml:space="preserve">‡ </t>
    </r>
  </si>
  <si>
    <t>select here</t>
  </si>
  <si>
    <t>box (87e)</t>
  </si>
  <si>
    <t>* -ve decrease in consumption +ve increase</t>
  </si>
  <si>
    <t>* 0.91 assumed gross efficiency as in rest of PFGHRD - ve means reduction +ve increase w.r.t combi boiler</t>
  </si>
  <si>
    <t>Degree-day</t>
  </si>
  <si>
    <t>Base temp</t>
  </si>
  <si>
    <t>Overall change due to closed couple store cf instant combi</t>
  </si>
  <si>
    <t xml:space="preserve">Step 4 : Obtain data from the SAP calculator (box number in red) and enter in the green cells below. </t>
  </si>
  <si>
    <t>Minimum MIT for consistency check</t>
  </si>
  <si>
    <t>Maximum MIT for consistency check</t>
  </si>
  <si>
    <t>* See Table 8 (col 1) and table 9 for values in formula</t>
  </si>
  <si>
    <t>SAP table 10</t>
  </si>
  <si>
    <t>Heat loss(Q06), Total Gains (Q07) and Heating requirement (Q12) are not consistent with each other.  Check entries.</t>
  </si>
  <si>
    <t>Store loss kWh/yr</t>
  </si>
  <si>
    <t>If new data for another arrangement becomes available, place tables for new device/boiler combination starting in cell (b, index * 10 - 4), (i.e cell, b6,b16,b26……etc) and update index range.</t>
  </si>
  <si>
    <t>Alpha/FS-25/NG</t>
  </si>
  <si>
    <t>Alpha/FS-25/LPG</t>
  </si>
  <si>
    <t>Alpha/FS-50/NG</t>
  </si>
  <si>
    <t>Alpha/FS-50/LPG</t>
  </si>
  <si>
    <t>Zenex Superflow</t>
  </si>
  <si>
    <t>SF-25</t>
  </si>
  <si>
    <t>SF-50</t>
  </si>
  <si>
    <t>FS-25</t>
  </si>
  <si>
    <t>FS-50</t>
  </si>
  <si>
    <t>Alpha Flowsmart</t>
  </si>
  <si>
    <t>box (50)</t>
  </si>
  <si>
    <t>Box Q19</t>
  </si>
  <si>
    <t>Box Q20</t>
  </si>
  <si>
    <t>Box Q21</t>
  </si>
  <si>
    <t>Heavy</t>
  </si>
  <si>
    <t>&gt;80%</t>
  </si>
  <si>
    <t>&gt;60% to 80%</t>
  </si>
  <si>
    <t>Modest</t>
  </si>
  <si>
    <t>&lt;20%</t>
  </si>
  <si>
    <t>Solar Collector Solar energy factor - Table H2 SAP 2005</t>
  </si>
  <si>
    <t>kWh/m2</t>
  </si>
  <si>
    <t>S</t>
  </si>
  <si>
    <t>SE</t>
  </si>
  <si>
    <t>SW</t>
  </si>
  <si>
    <t>E</t>
  </si>
  <si>
    <t>NE</t>
  </si>
  <si>
    <t>NW</t>
  </si>
  <si>
    <t>Effective solar volume</t>
  </si>
  <si>
    <t>Row</t>
  </si>
  <si>
    <t>Solar table row</t>
  </si>
  <si>
    <t>Solar Shading</t>
  </si>
  <si>
    <t>Solar load</t>
  </si>
  <si>
    <t>Water load</t>
  </si>
  <si>
    <t>solar-to-load ratio</t>
  </si>
  <si>
    <t>Utilisation factor</t>
  </si>
  <si>
    <t>Solar storage factor, (fVeff/Vd)</t>
  </si>
  <si>
    <t>kWh pa</t>
  </si>
  <si>
    <t xml:space="preserve">Maximum extra loss </t>
  </si>
  <si>
    <t>Incident solar</t>
  </si>
  <si>
    <t>factor 0 &lt; 1</t>
  </si>
  <si>
    <t>2 to 6</t>
  </si>
  <si>
    <t>kWh.m2 pa</t>
  </si>
  <si>
    <t>Extra water heating consumption inc PV cell reduction</t>
  </si>
  <si>
    <r>
      <t>Extra</t>
    </r>
    <r>
      <rPr>
        <sz val="10"/>
        <rFont val="Arial"/>
        <family val="2"/>
      </rPr>
      <t xml:space="preserve"> gains due to extra combi/storage loss inc PV cells</t>
    </r>
  </si>
  <si>
    <t>20% to 60%</t>
  </si>
  <si>
    <t>Significant</t>
  </si>
  <si>
    <t>None or little</t>
  </si>
  <si>
    <t>% of sky seen</t>
  </si>
  <si>
    <t>shading factor</t>
  </si>
  <si>
    <t>0 (hortizontal)</t>
  </si>
  <si>
    <t>90 (vertical)</t>
  </si>
  <si>
    <t>Intermediate parameters</t>
  </si>
  <si>
    <t>Extra PV store loss restricted (input into close couple sheet)</t>
  </si>
  <si>
    <t>Close-coupled store</t>
  </si>
  <si>
    <t>No</t>
  </si>
  <si>
    <t>Yes</t>
  </si>
  <si>
    <t>http://www.wiki.diyfaq.org.uk/index.php?title=Electrical_Circuit_faults#Required_Equipment</t>
  </si>
  <si>
    <t>Typical wire resistances</t>
  </si>
  <si>
    <r>
      <t>m</t>
    </r>
    <r>
      <rPr>
        <b/>
        <sz val="10"/>
        <rFont val="Arial"/>
        <family val="2"/>
      </rPr>
      <t>Ω</t>
    </r>
    <r>
      <rPr>
        <b/>
        <sz val="10"/>
        <rFont val="Times New Roman"/>
        <family val="1"/>
      </rPr>
      <t xml:space="preserve"> / metre </t>
    </r>
  </si>
  <si>
    <t>CSA (mm2)</t>
  </si>
  <si>
    <t>Photovoltiac data</t>
  </si>
  <si>
    <t>Immersion voltage</t>
  </si>
  <si>
    <t>Cable length (m per heater)</t>
  </si>
  <si>
    <t>v</t>
  </si>
  <si>
    <t>Photovoltiac module</t>
  </si>
  <si>
    <r>
      <t>Wire Cross Section Area (mm</t>
    </r>
    <r>
      <rPr>
        <b/>
        <vertAlign val="superscript"/>
        <sz val="10"/>
        <rFont val="Times New Roman"/>
        <family val="1"/>
      </rPr>
      <t>2</t>
    </r>
    <r>
      <rPr>
        <b/>
        <sz val="10"/>
        <rFont val="Times New Roman"/>
        <family val="1"/>
      </rPr>
      <t>) Main conductors</t>
    </r>
  </si>
  <si>
    <t>mm2</t>
  </si>
  <si>
    <t>Ω</t>
  </si>
  <si>
    <t>m per heater</t>
  </si>
  <si>
    <r>
      <t xml:space="preserve">Contribution from any solar water heating (not photovoltiac)  </t>
    </r>
    <r>
      <rPr>
        <sz val="10"/>
        <rFont val="Arial"/>
        <family val="2"/>
      </rPr>
      <t>‡</t>
    </r>
  </si>
  <si>
    <t>Useful solar (input into close coupled store)</t>
  </si>
  <si>
    <t>Box Q22</t>
  </si>
  <si>
    <t>Number of elements</t>
  </si>
  <si>
    <t>Immersion power (W) per element</t>
  </si>
  <si>
    <t>number</t>
  </si>
  <si>
    <t>Total rated peak power of the module(s) in kW</t>
  </si>
  <si>
    <t>Instructions:  Describe the photovoltiac module(s) power rating and position by entering data into the green cells (Q19 to Q22) below.  The other unshaded cells below are for specialist information only.</t>
  </si>
  <si>
    <t>Resistance per heater element Vw2 / pw</t>
  </si>
  <si>
    <r>
      <t>Fractional cable power loss C</t>
    </r>
    <r>
      <rPr>
        <vertAlign val="subscript"/>
        <sz val="8"/>
        <rFont val="Arial"/>
        <family val="2"/>
      </rPr>
      <t>C</t>
    </r>
    <r>
      <rPr>
        <sz val="8"/>
        <rFont val="Arial"/>
        <family val="2"/>
      </rPr>
      <t xml:space="preserve"> =Rc / (Ro+ Rc )</t>
    </r>
  </si>
  <si>
    <t>cable resistance per heater Rc= (2 x Rl x L)</t>
  </si>
  <si>
    <t>SAP Appendix Q calculation process for
Photovoltaic cells connected to an immersion heater in a closed-coupled store of a FGHRS</t>
  </si>
  <si>
    <t>Solar overshading factor Table H3 SAP 2005</t>
  </si>
  <si>
    <t>W per separate heating element</t>
  </si>
  <si>
    <t>Extra store loss unrestricted (0.8 included in the CC sheet)</t>
  </si>
  <si>
    <t>Orientation (select from drop down box)</t>
  </si>
  <si>
    <t>Tilt (select from drop down box)</t>
  </si>
  <si>
    <t>Shading (select from drop down box)</t>
  </si>
  <si>
    <t>IMPORTANT NOTES
(1) If the boiler brand or model is changed, the energy saving must be re-calculated.
(2) If an error message appears above, or the energy saving (Box Q15) is zero, then an assessment of savings cannot be made. 
Errors are reported when not all input data has been entered, the FGHRS and boiler type are not compatible, floor area is less than 30m², and other consistency checks as indicated.</t>
  </si>
  <si>
    <t>Brand/model selection not valid - check "Select FGHRS" sheet K4</t>
  </si>
  <si>
    <t>SF-25-PV1</t>
  </si>
  <si>
    <r>
      <t>SF-25</t>
    </r>
    <r>
      <rPr>
        <sz val="8"/>
        <color indexed="12"/>
        <rFont val="Arial"/>
        <family val="2"/>
      </rPr>
      <t>-PV1</t>
    </r>
  </si>
  <si>
    <t>SF-50-PV1</t>
  </si>
  <si>
    <t>This sheet is only valid and necesseary for FGHRS models with a photovoltiac cell powering an immersion heater in the close-coupled store. A valid FGHRS must be selected (one with 'Yes' in the photovoltaic column) - see "Select FGHRS" for valid arrangements.</t>
  </si>
  <si>
    <t>WWHRS (Q17)</t>
  </si>
  <si>
    <t>Box Q23</t>
  </si>
  <si>
    <t>WWHRS (Q12)</t>
  </si>
  <si>
    <t>Box Q24</t>
  </si>
  <si>
    <t>FS-25-PV1</t>
  </si>
  <si>
    <t>FS-50-PV1</t>
  </si>
  <si>
    <r>
      <t>Efficiency of water heating system % (from WWHRS spreadsheet, if applicable)**</t>
    </r>
    <r>
      <rPr>
        <sz val="10"/>
        <rFont val="Arial"/>
        <family val="2"/>
      </rPr>
      <t xml:space="preserve"> ‡</t>
    </r>
  </si>
  <si>
    <r>
      <t xml:space="preserve">Energy saved by WWHRS if present (from WWHRS spreadsheet)** </t>
    </r>
    <r>
      <rPr>
        <sz val="10"/>
        <rFont val="Arial"/>
        <family val="2"/>
      </rPr>
      <t>‡</t>
    </r>
  </si>
  <si>
    <t>** Q12 and Q13 should have values entered if a Waste Water Heat Recovery System is present, otherwise "0"</t>
  </si>
  <si>
    <t>Zenex/SF-50/LPG</t>
  </si>
  <si>
    <t>Zenex/SF-50/NG</t>
  </si>
  <si>
    <t>Zenex/SF-25/LPG</t>
  </si>
  <si>
    <t>Zenex/SF-25/NG</t>
  </si>
  <si>
    <r>
      <t xml:space="preserve">Step 3 : Enter data into the SAP calculator, ignoring any boiler efficiency adjustments in Table 4c (section 1). This means load/weather compensation must </t>
    </r>
    <r>
      <rPr>
        <b/>
        <u val="single"/>
        <sz val="10"/>
        <rFont val="Arial"/>
        <family val="2"/>
      </rPr>
      <t>not</t>
    </r>
    <r>
      <rPr>
        <b/>
        <sz val="10"/>
        <rFont val="Arial"/>
        <family val="2"/>
      </rPr>
      <t xml:space="preserve"> be selected.  If the emitter system is underfloor heating, choose underfloor + radiators.</t>
    </r>
  </si>
  <si>
    <t>ATAG</t>
  </si>
  <si>
    <t>EC</t>
  </si>
  <si>
    <t>ATAG/EC/GAS</t>
  </si>
  <si>
    <t>ATAG A325EC</t>
  </si>
  <si>
    <t>Boiler brand and model or type (select answer from box) §</t>
  </si>
  <si>
    <t>R</t>
  </si>
  <si>
    <t>This FGHRS is intended for use with the following boiler type(s) or brand and model</t>
  </si>
  <si>
    <t xml:space="preserve">FGHRS unsuitable for boiler type or boiler brand and model </t>
  </si>
  <si>
    <t>Boiler drop-down/code</t>
  </si>
  <si>
    <t>Boiler type R</t>
  </si>
  <si>
    <t>Boiler type S</t>
  </si>
  <si>
    <t>Boiler type C</t>
  </si>
  <si>
    <t>Boiler type K</t>
  </si>
  <si>
    <t xml:space="preserve">Hide G to Z - Permitted answers to drop-down questions </t>
  </si>
  <si>
    <t>Version 10.2 -  15 July 2010</t>
  </si>
  <si>
    <t>Change in date only means new products and change version number means other changes</t>
  </si>
  <si>
    <t>Version 10.2 -  14 Jan 2011</t>
  </si>
  <si>
    <t>Ideal</t>
  </si>
  <si>
    <t xml:space="preserve">Note if adding new data cell ranges in the formula of calculate savings H5 to H7 must be incremented by the nuber of rows added.  </t>
  </si>
  <si>
    <t>Idea/logic boost 26/Gas</t>
  </si>
  <si>
    <t>Logic Boost</t>
  </si>
  <si>
    <t>Ideal Code Combi 33</t>
  </si>
  <si>
    <t>Ideal Code Combi 38</t>
  </si>
  <si>
    <t>Ideal Code Combi 26</t>
  </si>
  <si>
    <t>Idea/logic boost 33/Gas</t>
  </si>
  <si>
    <t>Idea/logic boost 38/Gas</t>
  </si>
  <si>
    <t>Muelink&amp;Grol</t>
  </si>
  <si>
    <t>ECOFLO 60-100</t>
  </si>
  <si>
    <t>Added M&amp;G index 128 to 129 Note end row in formula Calculate savings H5 to H7 changed from 34 to 36 eg (L34 to L36).</t>
  </si>
  <si>
    <t>Added ideal logic boost index 124 to 127 Note end row in formula Calculate savings H5 to H7 changed to row 34</t>
  </si>
  <si>
    <t>Muelink&amp;Grol ECOFLO NG</t>
  </si>
  <si>
    <t>Muelink&amp;Grol ECOFLO LPG</t>
  </si>
  <si>
    <t>Version 10.2 -  25 Nov 2011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</si>
</sst>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quot; p/kWh&quot;"/>
    <numFmt numFmtId="173" formatCode="#0.0&quot; p/kWh&quot;"/>
    <numFmt numFmtId="174" formatCode="#"/>
    <numFmt numFmtId="175" formatCode="##0\ &quot;litres&quot;"/>
    <numFmt numFmtId="176" formatCode="0\ &quot;kWh&quot;"/>
    <numFmt numFmtId="177" formatCode="0.0000000"/>
    <numFmt numFmtId="178" formatCode="0.000000"/>
    <numFmt numFmtId="179" formatCode="0.00000"/>
    <numFmt numFmtId="180" formatCode="0.000000000"/>
    <numFmt numFmtId="181" formatCode="0.0000000000"/>
    <numFmt numFmtId="182" formatCode="0.00000000"/>
  </numFmts>
  <fonts count="74">
    <font>
      <sz val="8"/>
      <name val="Arial"/>
      <family val="0"/>
    </font>
    <font>
      <sz val="10"/>
      <name val="Arial"/>
      <family val="0"/>
    </font>
    <font>
      <b/>
      <sz val="14"/>
      <color indexed="9"/>
      <name val="Arial"/>
      <family val="2"/>
    </font>
    <font>
      <b/>
      <sz val="10"/>
      <name val="Times New Roman"/>
      <family val="1"/>
    </font>
    <font>
      <b/>
      <vertAlign val="superscript"/>
      <sz val="10"/>
      <name val="Times New Roman"/>
      <family val="1"/>
    </font>
    <font>
      <sz val="10"/>
      <name val="Times New Roman"/>
      <family val="1"/>
    </font>
    <font>
      <sz val="10"/>
      <name val="MS Sans Serif"/>
      <family val="2"/>
    </font>
    <font>
      <b/>
      <sz val="10"/>
      <color indexed="8"/>
      <name val="Times New Roman"/>
      <family val="1"/>
    </font>
    <font>
      <b/>
      <sz val="10"/>
      <name val="Arial"/>
      <family val="2"/>
    </font>
    <font>
      <b/>
      <sz val="10"/>
      <color indexed="10"/>
      <name val="Arial"/>
      <family val="2"/>
    </font>
    <font>
      <b/>
      <sz val="10"/>
      <color indexed="12"/>
      <name val="Arial"/>
      <family val="0"/>
    </font>
    <font>
      <b/>
      <sz val="14"/>
      <name val="Arial"/>
      <family val="2"/>
    </font>
    <font>
      <b/>
      <sz val="12"/>
      <color indexed="9"/>
      <name val="Arial"/>
      <family val="2"/>
    </font>
    <font>
      <b/>
      <sz val="8"/>
      <name val="Arial"/>
      <family val="0"/>
    </font>
    <font>
      <vertAlign val="subscript"/>
      <sz val="8"/>
      <name val="Arial"/>
      <family val="0"/>
    </font>
    <font>
      <sz val="8"/>
      <color indexed="9"/>
      <name val="Arial"/>
      <family val="2"/>
    </font>
    <font>
      <sz val="18"/>
      <color indexed="9"/>
      <name val="Arial"/>
      <family val="2"/>
    </font>
    <font>
      <b/>
      <sz val="8"/>
      <color indexed="12"/>
      <name val="Arial"/>
      <family val="0"/>
    </font>
    <font>
      <vertAlign val="superscript"/>
      <sz val="8"/>
      <name val="Arial"/>
      <family val="2"/>
    </font>
    <font>
      <sz val="8"/>
      <name val="Tahoma"/>
      <family val="0"/>
    </font>
    <font>
      <b/>
      <sz val="8"/>
      <name val="Tahoma"/>
      <family val="0"/>
    </font>
    <font>
      <b/>
      <u val="single"/>
      <sz val="10"/>
      <name val="Arial"/>
      <family val="2"/>
    </font>
    <font>
      <sz val="8"/>
      <color indexed="10"/>
      <name val="Arial"/>
      <family val="0"/>
    </font>
    <font>
      <b/>
      <sz val="12"/>
      <color indexed="10"/>
      <name val="Arial"/>
      <family val="2"/>
    </font>
    <font>
      <b/>
      <sz val="8"/>
      <color indexed="10"/>
      <name val="Arial"/>
      <family val="0"/>
    </font>
    <font>
      <sz val="8"/>
      <color indexed="12"/>
      <name val="Arial"/>
      <family val="0"/>
    </font>
    <font>
      <sz val="11"/>
      <name val="Times New Roman"/>
      <family val="1"/>
    </font>
    <font>
      <vertAlign val="subscript"/>
      <sz val="11"/>
      <name val="Times New Roman"/>
      <family val="1"/>
    </font>
    <font>
      <sz val="11"/>
      <name val="Symbol"/>
      <family val="1"/>
    </font>
    <font>
      <u val="single"/>
      <sz val="7.5"/>
      <color indexed="36"/>
      <name val="Arial"/>
      <family val="0"/>
    </font>
    <font>
      <u val="single"/>
      <sz val="7.5"/>
      <color indexed="12"/>
      <name val="Arial"/>
      <family val="0"/>
    </font>
    <font>
      <sz val="14"/>
      <color indexed="9"/>
      <name val="Arial"/>
      <family val="2"/>
    </font>
    <font>
      <b/>
      <sz val="10"/>
      <color indexed="9"/>
      <name val="Arial"/>
      <family val="2"/>
    </font>
    <font>
      <sz val="10"/>
      <color indexed="8"/>
      <name val="Arial"/>
      <family val="0"/>
    </font>
    <font>
      <sz val="8"/>
      <color indexed="8"/>
      <name val="Arial"/>
      <family val="0"/>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b/>
      <sz val="11"/>
      <color indexed="8"/>
      <name val="Arial"/>
      <family val="0"/>
    </font>
    <font>
      <vertAlign val="superscrip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
      <patternFill patternType="solid">
        <fgColor indexed="47"/>
        <bgColor indexed="64"/>
      </patternFill>
    </fill>
    <fill>
      <patternFill patternType="solid">
        <fgColor indexed="35"/>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medium"/>
      <bottom style="medium"/>
    </border>
    <border>
      <left style="medium"/>
      <right style="thin"/>
      <top style="thin"/>
      <bottom style="hair"/>
    </border>
    <border>
      <left style="medium"/>
      <right style="thin"/>
      <top style="hair"/>
      <bottom style="hair"/>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thin"/>
      <bottom style="thin"/>
    </border>
    <border>
      <left style="medium"/>
      <right style="thin"/>
      <top style="thin"/>
      <bottom style="medium"/>
    </border>
    <border>
      <left style="thin"/>
      <right style="thin"/>
      <top style="thin"/>
      <bottom style="medium"/>
    </border>
    <border>
      <left style="hair"/>
      <right>
        <color indexed="63"/>
      </right>
      <top style="thin"/>
      <bottom style="hair"/>
    </border>
    <border>
      <left style="hair"/>
      <right style="medium"/>
      <top style="hair"/>
      <bottom style="hair"/>
    </border>
    <border>
      <left style="hair"/>
      <right>
        <color indexed="63"/>
      </right>
      <top style="hair"/>
      <bottom style="hair"/>
    </border>
    <border>
      <left style="thin"/>
      <right>
        <color indexed="63"/>
      </right>
      <top style="thin"/>
      <bottom style="hair"/>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medium"/>
      <bottom style="thin"/>
    </border>
    <border>
      <left>
        <color indexed="63"/>
      </left>
      <right>
        <color indexed="63"/>
      </right>
      <top style="thin"/>
      <bottom style="thin"/>
    </border>
    <border>
      <left style="medium"/>
      <right style="hair"/>
      <top style="medium"/>
      <bottom style="hair"/>
    </border>
    <border>
      <left style="hair"/>
      <right style="medium"/>
      <top style="medium"/>
      <bottom style="hair"/>
    </border>
    <border>
      <left>
        <color indexed="63"/>
      </left>
      <right style="medium"/>
      <top style="thin"/>
      <bottom style="hair"/>
    </border>
    <border>
      <left style="medium"/>
      <right style="hair"/>
      <top style="hair"/>
      <bottom style="thin"/>
    </border>
    <border>
      <left style="hair"/>
      <right style="medium"/>
      <top style="hair"/>
      <bottom style="thin"/>
    </border>
    <border>
      <left style="thin"/>
      <right>
        <color indexed="63"/>
      </right>
      <top style="hair"/>
      <bottom style="hair"/>
    </border>
    <border>
      <left>
        <color indexed="63"/>
      </left>
      <right style="medium"/>
      <top style="hair"/>
      <bottom style="hair"/>
    </border>
    <border>
      <left style="medium"/>
      <right style="hair"/>
      <top>
        <color indexed="63"/>
      </top>
      <bottom style="hair"/>
    </border>
    <border>
      <left style="hair"/>
      <right style="medium"/>
      <top>
        <color indexed="63"/>
      </top>
      <bottom style="hair"/>
    </border>
    <border>
      <left style="thin"/>
      <right>
        <color indexed="63"/>
      </right>
      <top style="hair"/>
      <bottom style="thin"/>
    </border>
    <border>
      <left>
        <color indexed="63"/>
      </left>
      <right style="medium"/>
      <top style="hair"/>
      <bottom style="thin"/>
    </border>
    <border>
      <left style="medium"/>
      <right style="hair"/>
      <top style="hair"/>
      <bottom style="hair"/>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thin"/>
      <bottom style="hair"/>
    </border>
    <border>
      <left style="hair"/>
      <right style="medium"/>
      <top style="thin"/>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style="hair"/>
      <right style="medium"/>
      <top style="hair"/>
      <bottom style="medium"/>
    </border>
    <border>
      <left style="medium"/>
      <right>
        <color indexed="63"/>
      </right>
      <top style="medium"/>
      <bottom style="thin"/>
    </border>
    <border>
      <left style="medium"/>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color indexed="63"/>
      </top>
      <bottom style="thin"/>
    </border>
    <border>
      <left style="thin"/>
      <right>
        <color indexed="63"/>
      </right>
      <top>
        <color indexed="63"/>
      </top>
      <bottom style="medium"/>
    </border>
    <border>
      <left style="thin"/>
      <right style="medium"/>
      <top style="medium"/>
      <bottom style="thin"/>
    </border>
    <border>
      <left style="medium"/>
      <right style="hair"/>
      <top style="hair"/>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color indexed="63"/>
      </top>
      <bottom>
        <color indexed="63"/>
      </bottom>
    </border>
    <border>
      <left style="hair"/>
      <right style="medium"/>
      <top>
        <color indexed="63"/>
      </top>
      <bottom>
        <color indexed="63"/>
      </bottom>
    </border>
    <border>
      <left style="thin"/>
      <right style="medium"/>
      <top>
        <color indexed="63"/>
      </top>
      <bottom style="medium"/>
    </border>
    <border>
      <left>
        <color indexed="63"/>
      </left>
      <right style="thin"/>
      <top style="thin"/>
      <bottom style="thin"/>
    </border>
    <border>
      <left>
        <color indexed="63"/>
      </left>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hair"/>
      <bottom style="medium"/>
    </border>
    <border>
      <left>
        <color indexed="63"/>
      </left>
      <right style="medium"/>
      <top style="medium"/>
      <bottom style="mediu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color indexed="63"/>
      </top>
      <bottom style="hair"/>
    </border>
    <border>
      <left>
        <color indexed="63"/>
      </left>
      <right style="medium"/>
      <top style="thin"/>
      <bottom>
        <color indexed="63"/>
      </bottom>
    </border>
    <border>
      <left style="thin"/>
      <right>
        <color indexed="63"/>
      </right>
      <top style="hair"/>
      <bottom style="medium"/>
    </border>
    <border>
      <left style="medium">
        <color indexed="8"/>
      </left>
      <right>
        <color indexed="63"/>
      </right>
      <top style="thin">
        <color indexed="8"/>
      </top>
      <bottom>
        <color indexed="63"/>
      </bottom>
    </border>
    <border>
      <left style="thin"/>
      <right>
        <color indexed="63"/>
      </right>
      <top style="medium"/>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0"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4">
    <xf numFmtId="0" fontId="0" fillId="0" borderId="0" xfId="0"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0" xfId="0" applyFont="1" applyBorder="1" applyAlignment="1" applyProtection="1">
      <alignment horizontal="center" vertical="top"/>
      <protection/>
    </xf>
    <xf numFmtId="2" fontId="3" fillId="0" borderId="0" xfId="0" applyNumberFormat="1" applyFont="1" applyBorder="1" applyAlignment="1" applyProtection="1">
      <alignment horizontal="center"/>
      <protection/>
    </xf>
    <xf numFmtId="0" fontId="3" fillId="0" borderId="0" xfId="0" applyFont="1" applyAlignment="1" applyProtection="1">
      <alignment horizontal="center" vertical="top"/>
      <protection/>
    </xf>
    <xf numFmtId="0" fontId="0" fillId="0" borderId="0" xfId="0" applyAlignment="1" applyProtection="1">
      <alignment/>
      <protection/>
    </xf>
    <xf numFmtId="2" fontId="3" fillId="0" borderId="0" xfId="0" applyNumberFormat="1" applyFont="1" applyAlignment="1" applyProtection="1">
      <alignment horizontal="center"/>
      <protection/>
    </xf>
    <xf numFmtId="0" fontId="0" fillId="0" borderId="0" xfId="0" applyAlignment="1">
      <alignment horizontal="center"/>
    </xf>
    <xf numFmtId="2" fontId="3" fillId="0" borderId="0" xfId="0" applyNumberFormat="1" applyFont="1" applyAlignment="1" applyProtection="1">
      <alignment horizontal="center" vertical="top"/>
      <protection/>
    </xf>
    <xf numFmtId="2" fontId="7" fillId="0" borderId="0" xfId="0" applyNumberFormat="1" applyFont="1" applyAlignment="1" applyProtection="1">
      <alignment horizontal="center" vertical="top"/>
      <protection/>
    </xf>
    <xf numFmtId="0" fontId="11" fillId="0" borderId="0" xfId="0" applyFont="1" applyAlignment="1">
      <alignment horizontal="center"/>
    </xf>
    <xf numFmtId="0" fontId="0" fillId="0" borderId="0" xfId="0" applyFill="1" applyBorder="1" applyAlignment="1" applyProtection="1">
      <alignment vertical="center" wrapText="1"/>
      <protection/>
    </xf>
    <xf numFmtId="0" fontId="0" fillId="0" borderId="0" xfId="0" applyAlignment="1">
      <alignment horizontal="lef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1" fontId="0" fillId="0" borderId="14" xfId="0" applyNumberFormat="1"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1" fontId="0" fillId="0" borderId="15" xfId="0" applyNumberFormat="1" applyFont="1" applyBorder="1" applyAlignment="1">
      <alignment/>
    </xf>
    <xf numFmtId="0" fontId="2" fillId="33" borderId="0" xfId="0" applyFont="1" applyFill="1" applyAlignment="1">
      <alignment horizontal="centerContinuous" vertical="center"/>
    </xf>
    <xf numFmtId="0" fontId="15" fillId="33" borderId="0" xfId="0" applyFont="1" applyFill="1" applyAlignment="1">
      <alignment horizontal="centerContinuous" vertical="center"/>
    </xf>
    <xf numFmtId="0" fontId="12" fillId="33" borderId="0" xfId="0" applyFont="1" applyFill="1" applyBorder="1" applyAlignment="1" applyProtection="1">
      <alignment horizontal="centerContinuous" vertical="center" wrapText="1"/>
      <protection/>
    </xf>
    <xf numFmtId="0" fontId="17" fillId="34" borderId="19" xfId="0" applyFont="1" applyFill="1" applyBorder="1" applyAlignment="1" applyProtection="1">
      <alignment horizontal="left" vertical="center" wrapText="1"/>
      <protection/>
    </xf>
    <xf numFmtId="0" fontId="0" fillId="35" borderId="20" xfId="0" applyFont="1" applyFill="1" applyBorder="1" applyAlignment="1">
      <alignment/>
    </xf>
    <xf numFmtId="0" fontId="0" fillId="35" borderId="21" xfId="0" applyFont="1" applyFill="1" applyBorder="1" applyAlignment="1">
      <alignment/>
    </xf>
    <xf numFmtId="0" fontId="0" fillId="35" borderId="22" xfId="0" applyFont="1" applyFill="1" applyBorder="1" applyAlignment="1">
      <alignment/>
    </xf>
    <xf numFmtId="0" fontId="0" fillId="35" borderId="23" xfId="0" applyFont="1" applyFill="1" applyBorder="1" applyAlignment="1">
      <alignment/>
    </xf>
    <xf numFmtId="0" fontId="0" fillId="36" borderId="24" xfId="0" applyFill="1" applyBorder="1" applyAlignment="1" applyProtection="1">
      <alignment horizontal="center" vertical="center"/>
      <protection locked="0"/>
    </xf>
    <xf numFmtId="0" fontId="8" fillId="0" borderId="25" xfId="0" applyFont="1" applyBorder="1" applyAlignment="1" applyProtection="1">
      <alignment/>
      <protection/>
    </xf>
    <xf numFmtId="0" fontId="8" fillId="0" borderId="26" xfId="0" applyFont="1" applyBorder="1" applyAlignment="1" applyProtection="1">
      <alignment/>
      <protection/>
    </xf>
    <xf numFmtId="0" fontId="8" fillId="0" borderId="0" xfId="0" applyFont="1" applyBorder="1" applyAlignment="1" applyProtection="1">
      <alignment/>
      <protection/>
    </xf>
    <xf numFmtId="0" fontId="0" fillId="36" borderId="27" xfId="0" applyFill="1" applyBorder="1" applyAlignment="1" applyProtection="1">
      <alignment horizontal="center" vertical="center" wrapText="1"/>
      <protection locked="0"/>
    </xf>
    <xf numFmtId="0" fontId="0" fillId="33" borderId="0" xfId="0" applyFill="1" applyBorder="1" applyAlignment="1" applyProtection="1">
      <alignment horizontal="centerContinuous" vertical="center" wrapText="1"/>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1" fillId="0" borderId="29" xfId="0" applyFont="1" applyBorder="1" applyAlignment="1" applyProtection="1">
      <alignment horizontal="right" vertical="center"/>
      <protection/>
    </xf>
    <xf numFmtId="0" fontId="0" fillId="35" borderId="30" xfId="0" applyFill="1" applyBorder="1" applyAlignment="1" applyProtection="1">
      <alignment vertical="top" wrapText="1"/>
      <protection/>
    </xf>
    <xf numFmtId="0" fontId="0" fillId="35" borderId="30" xfId="0" applyFill="1" applyBorder="1" applyAlignment="1" applyProtection="1">
      <alignment horizontal="center" vertical="top" wrapText="1"/>
      <protection/>
    </xf>
    <xf numFmtId="0" fontId="0" fillId="35" borderId="31" xfId="0" applyFill="1" applyBorder="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horizontal="center" wrapText="1"/>
      <protection/>
    </xf>
    <xf numFmtId="0" fontId="0" fillId="0" borderId="0" xfId="0" applyFill="1" applyAlignment="1" applyProtection="1">
      <alignmen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0" fillId="35" borderId="32" xfId="0" applyFill="1" applyBorder="1" applyAlignment="1" applyProtection="1">
      <alignment/>
      <protection/>
    </xf>
    <xf numFmtId="0" fontId="0" fillId="35" borderId="33" xfId="0" applyFill="1" applyBorder="1" applyAlignment="1" applyProtection="1">
      <alignment/>
      <protection/>
    </xf>
    <xf numFmtId="0" fontId="0" fillId="35" borderId="34" xfId="0" applyFill="1" applyBorder="1" applyAlignment="1" applyProtection="1">
      <alignment vertical="top"/>
      <protection/>
    </xf>
    <xf numFmtId="0" fontId="0" fillId="37" borderId="35" xfId="0" applyFont="1" applyFill="1" applyBorder="1" applyAlignment="1" applyProtection="1">
      <alignment horizontal="left" vertical="top"/>
      <protection/>
    </xf>
    <xf numFmtId="0" fontId="0" fillId="35" borderId="36" xfId="0" applyFill="1" applyBorder="1" applyAlignment="1" applyProtection="1">
      <alignment vertical="top"/>
      <protection/>
    </xf>
    <xf numFmtId="0" fontId="0" fillId="35" borderId="37" xfId="0" applyFill="1" applyBorder="1" applyAlignment="1" applyProtection="1">
      <alignment vertical="top"/>
      <protection/>
    </xf>
    <xf numFmtId="0" fontId="0" fillId="35" borderId="38" xfId="0" applyFont="1" applyFill="1" applyBorder="1" applyAlignment="1" applyProtection="1">
      <alignment horizontal="right" vertical="top"/>
      <protection/>
    </xf>
    <xf numFmtId="0" fontId="0" fillId="35" borderId="39" xfId="0" applyFont="1" applyFill="1" applyBorder="1" applyAlignment="1" applyProtection="1">
      <alignment horizontal="right" vertical="top"/>
      <protection/>
    </xf>
    <xf numFmtId="0" fontId="0" fillId="35" borderId="40" xfId="0" applyFont="1" applyFill="1" applyBorder="1" applyAlignment="1" applyProtection="1">
      <alignment horizontal="right" vertical="top"/>
      <protection/>
    </xf>
    <xf numFmtId="2" fontId="0" fillId="35" borderId="41" xfId="0" applyNumberFormat="1" applyFont="1" applyFill="1" applyBorder="1" applyAlignment="1" applyProtection="1">
      <alignment horizontal="right" vertical="top"/>
      <protection/>
    </xf>
    <xf numFmtId="2" fontId="0" fillId="35" borderId="42" xfId="0" applyNumberFormat="1" applyFont="1" applyFill="1" applyBorder="1" applyAlignment="1" applyProtection="1">
      <alignment horizontal="right" vertical="top"/>
      <protection/>
    </xf>
    <xf numFmtId="2" fontId="0" fillId="35" borderId="43" xfId="0" applyNumberFormat="1" applyFont="1" applyFill="1" applyBorder="1" applyAlignment="1" applyProtection="1">
      <alignment horizontal="right" vertical="top"/>
      <protection/>
    </xf>
    <xf numFmtId="0" fontId="8" fillId="35" borderId="44" xfId="0" applyFont="1" applyFill="1" applyBorder="1" applyAlignment="1" applyProtection="1">
      <alignment horizontal="left" vertical="top"/>
      <protection/>
    </xf>
    <xf numFmtId="0" fontId="8" fillId="35" borderId="45" xfId="0" applyFont="1" applyFill="1" applyBorder="1" applyAlignment="1" applyProtection="1">
      <alignment horizontal="left" vertical="top"/>
      <protection/>
    </xf>
    <xf numFmtId="0" fontId="8" fillId="35" borderId="46" xfId="0" applyFont="1" applyFill="1" applyBorder="1" applyAlignment="1" applyProtection="1">
      <alignment horizontal="left" vertical="top"/>
      <protection/>
    </xf>
    <xf numFmtId="1" fontId="0" fillId="35" borderId="47" xfId="0" applyNumberFormat="1" applyFill="1" applyBorder="1" applyAlignment="1" applyProtection="1">
      <alignment horizontal="left" vertical="top"/>
      <protection/>
    </xf>
    <xf numFmtId="0" fontId="0" fillId="0" borderId="11" xfId="0" applyFill="1" applyBorder="1" applyAlignment="1" applyProtection="1">
      <alignment vertical="top"/>
      <protection/>
    </xf>
    <xf numFmtId="0" fontId="5" fillId="0" borderId="0" xfId="0" applyFont="1" applyFill="1" applyBorder="1" applyAlignment="1" applyProtection="1">
      <alignment vertical="top"/>
      <protection/>
    </xf>
    <xf numFmtId="0" fontId="0" fillId="35" borderId="14" xfId="0" applyFill="1" applyBorder="1" applyAlignment="1" applyProtection="1">
      <alignment horizontal="right"/>
      <protection/>
    </xf>
    <xf numFmtId="0" fontId="0" fillId="35" borderId="11" xfId="0" applyFill="1" applyBorder="1" applyAlignment="1" applyProtection="1" quotePrefix="1">
      <alignment horizontal="right" vertical="top"/>
      <protection/>
    </xf>
    <xf numFmtId="0" fontId="2" fillId="0" borderId="0" xfId="0" applyFont="1" applyFill="1" applyBorder="1" applyAlignment="1" applyProtection="1">
      <alignment vertical="center" wrapText="1"/>
      <protection/>
    </xf>
    <xf numFmtId="0" fontId="0" fillId="38" borderId="48" xfId="0" applyFill="1" applyBorder="1" applyAlignment="1" applyProtection="1">
      <alignment horizontal="centerContinuous" vertical="center"/>
      <protection/>
    </xf>
    <xf numFmtId="0" fontId="0" fillId="0" borderId="0" xfId="0" applyFill="1" applyBorder="1" applyAlignment="1" applyProtection="1">
      <alignment horizontal="center" vertical="center" wrapText="1"/>
      <protection/>
    </xf>
    <xf numFmtId="0" fontId="0" fillId="0" borderId="12" xfId="0" applyFill="1" applyBorder="1" applyAlignment="1" applyProtection="1">
      <alignment vertical="top"/>
      <protection/>
    </xf>
    <xf numFmtId="0" fontId="0" fillId="39" borderId="49" xfId="0" applyFill="1" applyBorder="1" applyAlignment="1" applyProtection="1">
      <alignment vertical="top"/>
      <protection/>
    </xf>
    <xf numFmtId="0" fontId="0" fillId="39" borderId="50" xfId="0" applyFill="1" applyBorder="1" applyAlignment="1" applyProtection="1">
      <alignment vertical="top"/>
      <protection/>
    </xf>
    <xf numFmtId="0" fontId="0" fillId="35" borderId="41" xfId="0" applyFill="1" applyBorder="1" applyAlignment="1" applyProtection="1">
      <alignment horizontal="right" vertical="top"/>
      <protection/>
    </xf>
    <xf numFmtId="0" fontId="8" fillId="35" borderId="51" xfId="0" applyFont="1" applyFill="1" applyBorder="1" applyAlignment="1" applyProtection="1">
      <alignment horizontal="left" vertical="top"/>
      <protection/>
    </xf>
    <xf numFmtId="0" fontId="0" fillId="39" borderId="52" xfId="0" applyFill="1" applyBorder="1" applyAlignment="1" applyProtection="1">
      <alignment vertical="top"/>
      <protection/>
    </xf>
    <xf numFmtId="0" fontId="0" fillId="39" borderId="53" xfId="0" applyFill="1" applyBorder="1" applyAlignment="1" applyProtection="1">
      <alignment vertical="top"/>
      <protection/>
    </xf>
    <xf numFmtId="0" fontId="0" fillId="35" borderId="54" xfId="0" applyFill="1" applyBorder="1" applyAlignment="1" applyProtection="1">
      <alignment vertical="top"/>
      <protection/>
    </xf>
    <xf numFmtId="0" fontId="0" fillId="35" borderId="42" xfId="0" applyFill="1" applyBorder="1" applyAlignment="1" applyProtection="1">
      <alignment horizontal="right" vertical="top"/>
      <protection/>
    </xf>
    <xf numFmtId="0" fontId="8" fillId="35" borderId="55" xfId="0" applyFont="1" applyFill="1" applyBorder="1" applyAlignment="1" applyProtection="1">
      <alignment horizontal="left" vertical="top"/>
      <protection/>
    </xf>
    <xf numFmtId="174" fontId="0" fillId="37" borderId="56" xfId="0" applyNumberFormat="1" applyFill="1" applyBorder="1" applyAlignment="1" applyProtection="1">
      <alignment vertical="top"/>
      <protection/>
    </xf>
    <xf numFmtId="0" fontId="0" fillId="37" borderId="57" xfId="0" applyFill="1" applyBorder="1" applyAlignment="1" applyProtection="1">
      <alignment vertical="top"/>
      <protection/>
    </xf>
    <xf numFmtId="0" fontId="0" fillId="35" borderId="58" xfId="0" applyFill="1" applyBorder="1" applyAlignment="1" applyProtection="1">
      <alignment vertical="top"/>
      <protection/>
    </xf>
    <xf numFmtId="0" fontId="0" fillId="35" borderId="43" xfId="0" applyFill="1" applyBorder="1" applyAlignment="1" applyProtection="1">
      <alignment horizontal="right" vertical="top"/>
      <protection/>
    </xf>
    <xf numFmtId="0" fontId="8" fillId="35" borderId="59" xfId="0" applyFont="1" applyFill="1" applyBorder="1" applyAlignment="1" applyProtection="1">
      <alignment horizontal="left" vertical="top"/>
      <protection/>
    </xf>
    <xf numFmtId="174" fontId="0" fillId="37" borderId="60" xfId="0" applyNumberFormat="1" applyFill="1" applyBorder="1" applyAlignment="1" applyProtection="1">
      <alignment vertical="top"/>
      <protection/>
    </xf>
    <xf numFmtId="0" fontId="0" fillId="37" borderId="35" xfId="0" applyFill="1" applyBorder="1" applyAlignment="1" applyProtection="1">
      <alignment vertical="top"/>
      <protection/>
    </xf>
    <xf numFmtId="0" fontId="0" fillId="0" borderId="61" xfId="0" applyFill="1" applyBorder="1" applyAlignment="1" applyProtection="1">
      <alignment/>
      <protection/>
    </xf>
    <xf numFmtId="0" fontId="0" fillId="0" borderId="62" xfId="0" applyFill="1" applyBorder="1" applyAlignment="1" applyProtection="1">
      <alignment vertical="top"/>
      <protection/>
    </xf>
    <xf numFmtId="0" fontId="0" fillId="35" borderId="38" xfId="0" applyFill="1" applyBorder="1" applyAlignment="1" applyProtection="1">
      <alignment vertical="top"/>
      <protection/>
    </xf>
    <xf numFmtId="0" fontId="0" fillId="35" borderId="41" xfId="0" applyFill="1" applyBorder="1" applyAlignment="1" applyProtection="1">
      <alignment vertical="top"/>
      <protection/>
    </xf>
    <xf numFmtId="0" fontId="0" fillId="35" borderId="63" xfId="0" applyFill="1" applyBorder="1" applyAlignment="1" applyProtection="1">
      <alignment horizontal="right" vertical="top"/>
      <protection/>
    </xf>
    <xf numFmtId="0" fontId="0" fillId="35" borderId="64" xfId="0" applyFill="1" applyBorder="1" applyAlignment="1" applyProtection="1">
      <alignment vertical="top"/>
      <protection/>
    </xf>
    <xf numFmtId="0" fontId="0" fillId="0" borderId="0" xfId="0" applyAlignment="1" applyProtection="1">
      <alignment horizontal="right"/>
      <protection/>
    </xf>
    <xf numFmtId="0" fontId="0" fillId="35" borderId="39" xfId="0" applyFill="1" applyBorder="1" applyAlignment="1" applyProtection="1">
      <alignment vertical="top"/>
      <protection/>
    </xf>
    <xf numFmtId="0" fontId="0" fillId="35" borderId="42" xfId="0" applyFill="1" applyBorder="1" applyAlignment="1" applyProtection="1">
      <alignment vertical="top"/>
      <protection/>
    </xf>
    <xf numFmtId="0" fontId="0" fillId="35" borderId="65" xfId="0" applyFill="1" applyBorder="1" applyAlignment="1" applyProtection="1">
      <alignment horizontal="right" vertical="top"/>
      <protection/>
    </xf>
    <xf numFmtId="0" fontId="0" fillId="35" borderId="35" xfId="0" applyFill="1" applyBorder="1" applyAlignment="1" applyProtection="1">
      <alignment vertical="top"/>
      <protection/>
    </xf>
    <xf numFmtId="0" fontId="0" fillId="0" borderId="0" xfId="0" applyFill="1" applyAlignment="1" applyProtection="1">
      <alignment horizontal="center"/>
      <protection/>
    </xf>
    <xf numFmtId="0" fontId="6" fillId="35" borderId="55" xfId="0" applyFont="1" applyFill="1" applyBorder="1" applyAlignment="1" applyProtection="1">
      <alignment horizontal="center" vertical="top" wrapText="1"/>
      <protection/>
    </xf>
    <xf numFmtId="0" fontId="0" fillId="35" borderId="55" xfId="0" applyFill="1" applyBorder="1" applyAlignment="1" applyProtection="1">
      <alignment vertical="top"/>
      <protection/>
    </xf>
    <xf numFmtId="0" fontId="0" fillId="35" borderId="66" xfId="0" applyFill="1" applyBorder="1" applyAlignment="1" applyProtection="1">
      <alignment vertical="top"/>
      <protection/>
    </xf>
    <xf numFmtId="0" fontId="0" fillId="35" borderId="67" xfId="0" applyFill="1" applyBorder="1" applyAlignment="1" applyProtection="1">
      <alignment vertical="top"/>
      <protection/>
    </xf>
    <xf numFmtId="0" fontId="0" fillId="35" borderId="68" xfId="0" applyFill="1" applyBorder="1" applyAlignment="1" applyProtection="1">
      <alignment horizontal="right" vertical="top"/>
      <protection/>
    </xf>
    <xf numFmtId="0" fontId="0" fillId="35" borderId="69" xfId="0" applyFill="1" applyBorder="1" applyAlignment="1" applyProtection="1">
      <alignment vertical="top"/>
      <protection/>
    </xf>
    <xf numFmtId="0" fontId="0" fillId="35" borderId="70" xfId="0" applyFill="1" applyBorder="1" applyAlignment="1" applyProtection="1">
      <alignment vertical="top"/>
      <protection/>
    </xf>
    <xf numFmtId="0" fontId="0" fillId="37" borderId="71" xfId="0" applyFont="1" applyFill="1" applyBorder="1" applyAlignment="1" applyProtection="1">
      <alignment horizontal="left" vertical="top"/>
      <protection/>
    </xf>
    <xf numFmtId="0" fontId="25" fillId="35" borderId="72" xfId="0" applyFont="1" applyFill="1" applyBorder="1" applyAlignment="1" applyProtection="1">
      <alignment/>
      <protection/>
    </xf>
    <xf numFmtId="0" fontId="25" fillId="35" borderId="31" xfId="0" applyFont="1" applyFill="1" applyBorder="1" applyAlignment="1" applyProtection="1">
      <alignment horizontal="center"/>
      <protection/>
    </xf>
    <xf numFmtId="0" fontId="25" fillId="35" borderId="31" xfId="0" applyFont="1" applyFill="1" applyBorder="1" applyAlignment="1" applyProtection="1">
      <alignment/>
      <protection/>
    </xf>
    <xf numFmtId="0" fontId="8" fillId="0" borderId="73" xfId="0" applyFont="1" applyBorder="1" applyAlignment="1" applyProtection="1">
      <alignment vertical="center"/>
      <protection/>
    </xf>
    <xf numFmtId="0" fontId="1" fillId="0" borderId="26" xfId="0" applyFont="1" applyBorder="1" applyAlignment="1" applyProtection="1" quotePrefix="1">
      <alignment horizontal="left"/>
      <protection/>
    </xf>
    <xf numFmtId="0" fontId="0" fillId="0" borderId="27" xfId="0" applyFont="1" applyBorder="1" applyAlignment="1">
      <alignment/>
    </xf>
    <xf numFmtId="0" fontId="0" fillId="35" borderId="0" xfId="0" applyFill="1" applyBorder="1" applyAlignment="1" applyProtection="1">
      <alignment/>
      <protection/>
    </xf>
    <xf numFmtId="0" fontId="0" fillId="40" borderId="74" xfId="0" applyFill="1" applyBorder="1" applyAlignment="1" applyProtection="1">
      <alignment/>
      <protection/>
    </xf>
    <xf numFmtId="0" fontId="0" fillId="40" borderId="0" xfId="0" applyFill="1" applyBorder="1" applyAlignment="1" applyProtection="1">
      <alignment/>
      <protection/>
    </xf>
    <xf numFmtId="0" fontId="0" fillId="40" borderId="75" xfId="0" applyFill="1" applyBorder="1" applyAlignment="1" applyProtection="1">
      <alignment/>
      <protection/>
    </xf>
    <xf numFmtId="0" fontId="0" fillId="38" borderId="74" xfId="0" applyFill="1" applyBorder="1" applyAlignment="1" applyProtection="1">
      <alignment horizontal="centerContinuous" vertical="center"/>
      <protection/>
    </xf>
    <xf numFmtId="0" fontId="0" fillId="41" borderId="76" xfId="0" applyFill="1" applyBorder="1" applyAlignment="1" applyProtection="1">
      <alignment/>
      <protection/>
    </xf>
    <xf numFmtId="0" fontId="0" fillId="41" borderId="77" xfId="0" applyFill="1" applyBorder="1" applyAlignment="1" applyProtection="1">
      <alignment/>
      <protection/>
    </xf>
    <xf numFmtId="0" fontId="0" fillId="41" borderId="78" xfId="0" applyFill="1" applyBorder="1" applyAlignment="1" applyProtection="1">
      <alignment/>
      <protection/>
    </xf>
    <xf numFmtId="0" fontId="0" fillId="42" borderId="79" xfId="0" applyFont="1" applyFill="1" applyBorder="1" applyAlignment="1" applyProtection="1">
      <alignment/>
      <protection/>
    </xf>
    <xf numFmtId="0" fontId="0" fillId="42" borderId="80" xfId="0" applyFont="1" applyFill="1" applyBorder="1" applyAlignment="1" applyProtection="1">
      <alignment/>
      <protection/>
    </xf>
    <xf numFmtId="0" fontId="0" fillId="42" borderId="81" xfId="0" applyFont="1" applyFill="1" applyBorder="1" applyAlignment="1" applyProtection="1">
      <alignment/>
      <protection/>
    </xf>
    <xf numFmtId="0" fontId="0" fillId="42" borderId="82" xfId="0" applyFont="1" applyFill="1" applyBorder="1" applyAlignment="1" applyProtection="1">
      <alignment/>
      <protection/>
    </xf>
    <xf numFmtId="0" fontId="0" fillId="42" borderId="83" xfId="0" applyFont="1" applyFill="1" applyBorder="1" applyAlignment="1" applyProtection="1">
      <alignment/>
      <protection/>
    </xf>
    <xf numFmtId="0" fontId="0" fillId="42" borderId="84" xfId="0" applyFont="1" applyFill="1" applyBorder="1" applyAlignment="1" applyProtection="1">
      <alignment/>
      <protection/>
    </xf>
    <xf numFmtId="0" fontId="26" fillId="0" borderId="0" xfId="0" applyFont="1" applyAlignment="1">
      <alignment/>
    </xf>
    <xf numFmtId="0" fontId="0" fillId="0" borderId="85" xfId="0" applyBorder="1" applyAlignment="1" applyProtection="1">
      <alignment vertical="center"/>
      <protection/>
    </xf>
    <xf numFmtId="0" fontId="25" fillId="35" borderId="86" xfId="0" applyFont="1" applyFill="1" applyBorder="1" applyAlignment="1" applyProtection="1">
      <alignment/>
      <protection/>
    </xf>
    <xf numFmtId="0" fontId="0" fillId="0" borderId="0" xfId="0" applyFill="1" applyBorder="1" applyAlignment="1" applyProtection="1" quotePrefix="1">
      <alignment/>
      <protection/>
    </xf>
    <xf numFmtId="0" fontId="26" fillId="0" borderId="0" xfId="0" applyFont="1" applyBorder="1" applyAlignment="1">
      <alignment vertical="top" wrapText="1"/>
    </xf>
    <xf numFmtId="0" fontId="0" fillId="35" borderId="79" xfId="0" applyFill="1" applyBorder="1" applyAlignment="1" applyProtection="1">
      <alignment/>
      <protection/>
    </xf>
    <xf numFmtId="0" fontId="0" fillId="35" borderId="80" xfId="0" applyFill="1" applyBorder="1" applyAlignment="1" applyProtection="1">
      <alignment/>
      <protection/>
    </xf>
    <xf numFmtId="0" fontId="0" fillId="35" borderId="81" xfId="0" applyFill="1" applyBorder="1" applyAlignment="1" applyProtection="1">
      <alignment/>
      <protection/>
    </xf>
    <xf numFmtId="0" fontId="0" fillId="35" borderId="83" xfId="0" applyFill="1" applyBorder="1" applyAlignment="1" applyProtection="1">
      <alignment/>
      <protection/>
    </xf>
    <xf numFmtId="0" fontId="0" fillId="35" borderId="10" xfId="0" applyFill="1" applyBorder="1" applyAlignment="1" applyProtection="1">
      <alignment/>
      <protection/>
    </xf>
    <xf numFmtId="0" fontId="0" fillId="35" borderId="11" xfId="0" applyFill="1" applyBorder="1" applyAlignment="1" applyProtection="1">
      <alignment/>
      <protection/>
    </xf>
    <xf numFmtId="0" fontId="0" fillId="35" borderId="12" xfId="0" applyFill="1" applyBorder="1" applyAlignment="1" applyProtection="1">
      <alignment/>
      <protection/>
    </xf>
    <xf numFmtId="0" fontId="0" fillId="35" borderId="61" xfId="0" applyFill="1" applyBorder="1" applyAlignment="1" applyProtection="1">
      <alignment/>
      <protection/>
    </xf>
    <xf numFmtId="0" fontId="0" fillId="35" borderId="62" xfId="0" applyFill="1" applyBorder="1" applyAlignment="1" applyProtection="1">
      <alignment/>
      <protection/>
    </xf>
    <xf numFmtId="0" fontId="0" fillId="35" borderId="16" xfId="0" applyFill="1" applyBorder="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1" fontId="0" fillId="35" borderId="82" xfId="0" applyNumberFormat="1" applyFill="1" applyBorder="1" applyAlignment="1" applyProtection="1">
      <alignment/>
      <protection/>
    </xf>
    <xf numFmtId="1" fontId="0" fillId="35" borderId="84" xfId="0" applyNumberFormat="1" applyFill="1" applyBorder="1" applyAlignment="1" applyProtection="1">
      <alignment/>
      <protection/>
    </xf>
    <xf numFmtId="0" fontId="0" fillId="0" borderId="0" xfId="0" applyAlignment="1" applyProtection="1">
      <alignment vertical="top"/>
      <protection/>
    </xf>
    <xf numFmtId="0" fontId="0" fillId="36" borderId="27" xfId="0" applyNumberForma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xf>
    <xf numFmtId="0" fontId="17" fillId="34" borderId="15" xfId="0" applyFont="1" applyFill="1" applyBorder="1" applyAlignment="1" applyProtection="1">
      <alignment horizontal="right" vertical="center" wrapText="1"/>
      <protection/>
    </xf>
    <xf numFmtId="0" fontId="0" fillId="36" borderId="14" xfId="0" applyFill="1" applyBorder="1" applyAlignment="1" applyProtection="1">
      <alignment horizontal="center" vertical="center"/>
      <protection locked="0"/>
    </xf>
    <xf numFmtId="0" fontId="0" fillId="36" borderId="87" xfId="0" applyNumberFormat="1" applyFill="1" applyBorder="1" applyAlignment="1" applyProtection="1">
      <alignment horizontal="center" vertical="center"/>
      <protection locked="0"/>
    </xf>
    <xf numFmtId="0" fontId="22" fillId="35" borderId="42" xfId="0" applyFont="1" applyFill="1" applyBorder="1" applyAlignment="1" applyProtection="1">
      <alignment vertical="top"/>
      <protection/>
    </xf>
    <xf numFmtId="0" fontId="22" fillId="43" borderId="88" xfId="0" applyFont="1" applyFill="1" applyBorder="1" applyAlignment="1" applyProtection="1">
      <alignment horizontal="right"/>
      <protection/>
    </xf>
    <xf numFmtId="0" fontId="0" fillId="35" borderId="65" xfId="0" applyFont="1" applyFill="1" applyBorder="1" applyAlignment="1" applyProtection="1">
      <alignment horizontal="right" vertical="top"/>
      <protection/>
    </xf>
    <xf numFmtId="0" fontId="0" fillId="37" borderId="57" xfId="0" applyFont="1" applyFill="1" applyBorder="1" applyAlignment="1" applyProtection="1">
      <alignment horizontal="left" vertical="top"/>
      <protection/>
    </xf>
    <xf numFmtId="174" fontId="0" fillId="37" borderId="89" xfId="0" applyNumberFormat="1" applyFill="1" applyBorder="1" applyAlignment="1" applyProtection="1">
      <alignment vertical="top"/>
      <protection/>
    </xf>
    <xf numFmtId="0" fontId="0" fillId="0" borderId="90" xfId="0" applyBorder="1" applyAlignment="1" applyProtection="1">
      <alignment/>
      <protection/>
    </xf>
    <xf numFmtId="0" fontId="0" fillId="35" borderId="0" xfId="0" applyFill="1" applyBorder="1" applyAlignment="1" applyProtection="1" quotePrefix="1">
      <alignment horizontal="right" vertical="top"/>
      <protection/>
    </xf>
    <xf numFmtId="1" fontId="0" fillId="35" borderId="82" xfId="0" applyNumberFormat="1" applyFill="1" applyBorder="1" applyAlignment="1" applyProtection="1">
      <alignment horizontal="left" vertical="top"/>
      <protection/>
    </xf>
    <xf numFmtId="0" fontId="0" fillId="0" borderId="0" xfId="0" applyFill="1" applyBorder="1" applyAlignment="1" applyProtection="1">
      <alignment vertical="top"/>
      <protection/>
    </xf>
    <xf numFmtId="0" fontId="16" fillId="33" borderId="0" xfId="0" applyFont="1" applyFill="1" applyAlignment="1">
      <alignment horizontal="centerContinuous" vertical="center" wrapText="1"/>
    </xf>
    <xf numFmtId="3" fontId="0" fillId="36" borderId="14" xfId="0" applyNumberFormat="1" applyFill="1" applyBorder="1" applyAlignment="1" applyProtection="1">
      <alignment horizontal="center" vertical="center"/>
      <protection locked="0"/>
    </xf>
    <xf numFmtId="0" fontId="0" fillId="41" borderId="91" xfId="0" applyFill="1" applyBorder="1" applyAlignment="1" applyProtection="1">
      <alignment/>
      <protection/>
    </xf>
    <xf numFmtId="0" fontId="0" fillId="41" borderId="92" xfId="0" applyFill="1" applyBorder="1" applyAlignment="1" applyProtection="1">
      <alignment/>
      <protection/>
    </xf>
    <xf numFmtId="0" fontId="0" fillId="41" borderId="93" xfId="0" applyFill="1" applyBorder="1" applyAlignment="1" applyProtection="1">
      <alignment/>
      <protection/>
    </xf>
    <xf numFmtId="165" fontId="22" fillId="43" borderId="15" xfId="0" applyNumberFormat="1" applyFont="1" applyFill="1" applyBorder="1" applyAlignment="1" applyProtection="1">
      <alignment/>
      <protection/>
    </xf>
    <xf numFmtId="165" fontId="22" fillId="43" borderId="94" xfId="0" applyNumberFormat="1" applyFont="1" applyFill="1" applyBorder="1" applyAlignment="1" applyProtection="1">
      <alignment/>
      <protection/>
    </xf>
    <xf numFmtId="0" fontId="0" fillId="35" borderId="95" xfId="0" applyFill="1" applyBorder="1" applyAlignment="1" applyProtection="1">
      <alignment vertical="top"/>
      <protection/>
    </xf>
    <xf numFmtId="0" fontId="0" fillId="35" borderId="96" xfId="0" applyFill="1" applyBorder="1" applyAlignment="1" applyProtection="1">
      <alignment vertical="top"/>
      <protection/>
    </xf>
    <xf numFmtId="0" fontId="0" fillId="35" borderId="21" xfId="0" applyFill="1" applyBorder="1" applyAlignment="1" applyProtection="1">
      <alignment horizontal="right" vertical="top"/>
      <protection/>
    </xf>
    <xf numFmtId="0" fontId="0" fillId="35" borderId="20" xfId="0" applyFill="1" applyBorder="1" applyAlignment="1" applyProtection="1">
      <alignment vertical="top"/>
      <protection/>
    </xf>
    <xf numFmtId="0" fontId="0" fillId="35" borderId="97" xfId="0" applyFill="1" applyBorder="1" applyAlignment="1" applyProtection="1">
      <alignment vertical="top"/>
      <protection/>
    </xf>
    <xf numFmtId="174" fontId="0" fillId="37" borderId="98" xfId="0" applyNumberFormat="1" applyFill="1" applyBorder="1" applyAlignment="1" applyProtection="1">
      <alignment vertical="top"/>
      <protection/>
    </xf>
    <xf numFmtId="0" fontId="0" fillId="37" borderId="99" xfId="0" applyFont="1" applyFill="1" applyBorder="1" applyAlignment="1" applyProtection="1">
      <alignment horizontal="left" vertical="top"/>
      <protection/>
    </xf>
    <xf numFmtId="0" fontId="10" fillId="34" borderId="15" xfId="0" applyFont="1" applyFill="1" applyBorder="1" applyAlignment="1" applyProtection="1">
      <alignment horizontal="center" vertical="center" wrapText="1"/>
      <protection/>
    </xf>
    <xf numFmtId="0" fontId="10" fillId="34" borderId="100" xfId="0" applyFont="1" applyFill="1" applyBorder="1" applyAlignment="1" applyProtection="1">
      <alignment horizontal="center" vertical="center" wrapText="1"/>
      <protection/>
    </xf>
    <xf numFmtId="0" fontId="1" fillId="0" borderId="0" xfId="0" applyFont="1" applyAlignment="1">
      <alignment/>
    </xf>
    <xf numFmtId="0" fontId="1" fillId="36" borderId="0" xfId="0" applyFont="1" applyFill="1" applyAlignment="1">
      <alignment/>
    </xf>
    <xf numFmtId="165" fontId="1" fillId="36" borderId="0" xfId="0" applyNumberFormat="1" applyFont="1" applyFill="1" applyAlignment="1">
      <alignment/>
    </xf>
    <xf numFmtId="0" fontId="8" fillId="36" borderId="0" xfId="0" applyFont="1" applyFill="1" applyAlignment="1">
      <alignment/>
    </xf>
    <xf numFmtId="1" fontId="1" fillId="36" borderId="0" xfId="0" applyNumberFormat="1" applyFont="1" applyFill="1" applyAlignment="1">
      <alignment/>
    </xf>
    <xf numFmtId="0" fontId="24" fillId="0" borderId="0" xfId="0" applyFont="1" applyAlignment="1" applyProtection="1">
      <alignment/>
      <protection/>
    </xf>
    <xf numFmtId="0" fontId="13" fillId="35" borderId="79" xfId="0" applyFont="1" applyFill="1" applyBorder="1" applyAlignment="1" applyProtection="1">
      <alignment/>
      <protection/>
    </xf>
    <xf numFmtId="0" fontId="13" fillId="35" borderId="80" xfId="0" applyFont="1" applyFill="1" applyBorder="1" applyAlignment="1" applyProtection="1">
      <alignment/>
      <protection/>
    </xf>
    <xf numFmtId="0" fontId="13" fillId="35" borderId="81" xfId="0" applyFont="1" applyFill="1" applyBorder="1" applyAlignment="1" applyProtection="1">
      <alignment/>
      <protection/>
    </xf>
    <xf numFmtId="0" fontId="13" fillId="35" borderId="82" xfId="0" applyFont="1" applyFill="1" applyBorder="1" applyAlignment="1" applyProtection="1">
      <alignment/>
      <protection/>
    </xf>
    <xf numFmtId="0" fontId="13" fillId="35" borderId="83" xfId="0" applyFont="1" applyFill="1" applyBorder="1" applyAlignment="1" applyProtection="1">
      <alignment/>
      <protection/>
    </xf>
    <xf numFmtId="2" fontId="13" fillId="35" borderId="84" xfId="0" applyNumberFormat="1" applyFont="1" applyFill="1" applyBorder="1" applyAlignment="1" applyProtection="1">
      <alignment/>
      <protection/>
    </xf>
    <xf numFmtId="0" fontId="13" fillId="35" borderId="74" xfId="0" applyFont="1" applyFill="1" applyBorder="1" applyAlignment="1" applyProtection="1">
      <alignment/>
      <protection/>
    </xf>
    <xf numFmtId="0" fontId="13" fillId="35" borderId="0" xfId="0" applyFont="1" applyFill="1" applyBorder="1" applyAlignment="1" applyProtection="1">
      <alignment/>
      <protection/>
    </xf>
    <xf numFmtId="0" fontId="13" fillId="35" borderId="75" xfId="0" applyFont="1" applyFill="1" applyBorder="1" applyAlignment="1" applyProtection="1">
      <alignment/>
      <protection/>
    </xf>
    <xf numFmtId="0" fontId="13" fillId="35" borderId="84" xfId="0" applyFont="1" applyFill="1" applyBorder="1" applyAlignment="1" applyProtection="1">
      <alignment/>
      <protection/>
    </xf>
    <xf numFmtId="0" fontId="10" fillId="34" borderId="14" xfId="0" applyFont="1" applyFill="1" applyBorder="1" applyAlignment="1" applyProtection="1">
      <alignment horizontal="center"/>
      <protection/>
    </xf>
    <xf numFmtId="176" fontId="13" fillId="43" borderId="15" xfId="0" applyNumberFormat="1" applyFont="1" applyFill="1" applyBorder="1" applyAlignment="1" applyProtection="1">
      <alignment/>
      <protection/>
    </xf>
    <xf numFmtId="0" fontId="10" fillId="34" borderId="33" xfId="0" applyFont="1" applyFill="1" applyBorder="1" applyAlignment="1" applyProtection="1">
      <alignment horizontal="center"/>
      <protection/>
    </xf>
    <xf numFmtId="164" fontId="13" fillId="43" borderId="94" xfId="0" applyNumberFormat="1" applyFont="1" applyFill="1" applyBorder="1" applyAlignment="1" applyProtection="1">
      <alignment horizontal="right"/>
      <protection/>
    </xf>
    <xf numFmtId="0" fontId="1" fillId="36" borderId="0" xfId="0" applyFont="1" applyFill="1" applyAlignment="1">
      <alignment/>
    </xf>
    <xf numFmtId="0" fontId="0" fillId="0" borderId="85" xfId="0" applyFont="1" applyBorder="1" applyAlignment="1" applyProtection="1">
      <alignment vertical="center"/>
      <protection/>
    </xf>
    <xf numFmtId="0" fontId="0" fillId="0" borderId="61" xfId="0" applyFont="1" applyBorder="1" applyAlignment="1" applyProtection="1">
      <alignment vertical="center"/>
      <protection/>
    </xf>
    <xf numFmtId="0" fontId="8" fillId="0" borderId="29" xfId="0" applyFont="1" applyBorder="1" applyAlignment="1" applyProtection="1">
      <alignment vertical="center"/>
      <protection/>
    </xf>
    <xf numFmtId="0" fontId="8" fillId="0" borderId="41" xfId="0" applyFont="1" applyBorder="1" applyAlignment="1" applyProtection="1">
      <alignment/>
      <protection/>
    </xf>
    <xf numFmtId="0" fontId="8" fillId="0" borderId="42" xfId="0" applyFont="1" applyBorder="1" applyAlignment="1" applyProtection="1">
      <alignment/>
      <protection/>
    </xf>
    <xf numFmtId="0" fontId="1" fillId="0" borderId="42" xfId="0" applyFont="1" applyBorder="1" applyAlignment="1" applyProtection="1" quotePrefix="1">
      <alignment horizontal="left"/>
      <protection/>
    </xf>
    <xf numFmtId="0" fontId="1" fillId="0" borderId="67" xfId="0" applyFont="1" applyBorder="1" applyAlignment="1" applyProtection="1" quotePrefix="1">
      <alignment horizontal="left" vertical="center"/>
      <protection/>
    </xf>
    <xf numFmtId="0" fontId="0" fillId="0" borderId="85" xfId="0" applyFont="1" applyBorder="1" applyAlignment="1" applyProtection="1">
      <alignment vertical="center" wrapText="1"/>
      <protection/>
    </xf>
    <xf numFmtId="0" fontId="0" fillId="0" borderId="16" xfId="0" applyFont="1" applyBorder="1" applyAlignment="1" applyProtection="1">
      <alignment vertical="center"/>
      <protection/>
    </xf>
    <xf numFmtId="0" fontId="0" fillId="0" borderId="85" xfId="0" applyFont="1" applyBorder="1" applyAlignment="1" applyProtection="1">
      <alignment vertical="center"/>
      <protection/>
    </xf>
    <xf numFmtId="0" fontId="9" fillId="0" borderId="101" xfId="0" applyFont="1" applyBorder="1" applyAlignment="1" applyProtection="1">
      <alignment vertical="center"/>
      <protection/>
    </xf>
    <xf numFmtId="0" fontId="9" fillId="0" borderId="101" xfId="0" applyFont="1" applyBorder="1" applyAlignment="1" applyProtection="1">
      <alignment vertical="center" wrapText="1"/>
      <protection/>
    </xf>
    <xf numFmtId="0" fontId="9" fillId="0" borderId="102" xfId="0" applyFont="1" applyBorder="1" applyAlignment="1" applyProtection="1">
      <alignment vertical="center"/>
      <protection/>
    </xf>
    <xf numFmtId="10" fontId="1" fillId="36" borderId="0" xfId="0" applyNumberFormat="1" applyFont="1" applyFill="1" applyAlignment="1">
      <alignment/>
    </xf>
    <xf numFmtId="0" fontId="1" fillId="44" borderId="0" xfId="0" applyFont="1" applyFill="1" applyAlignment="1">
      <alignment/>
    </xf>
    <xf numFmtId="0" fontId="0" fillId="0" borderId="12" xfId="0" applyFill="1" applyBorder="1" applyAlignment="1" applyProtection="1">
      <alignment/>
      <protection/>
    </xf>
    <xf numFmtId="0" fontId="0" fillId="0" borderId="62" xfId="0" applyFill="1" applyBorder="1" applyAlignment="1" applyProtection="1">
      <alignment/>
      <protection/>
    </xf>
    <xf numFmtId="0" fontId="0" fillId="0" borderId="61" xfId="0" applyFill="1" applyBorder="1" applyAlignment="1" applyProtection="1">
      <alignment wrapText="1"/>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1" fillId="0" borderId="103" xfId="0" applyFont="1" applyFill="1" applyBorder="1" applyAlignment="1" applyProtection="1">
      <alignment/>
      <protection/>
    </xf>
    <xf numFmtId="0" fontId="1" fillId="0" borderId="77" xfId="0" applyFont="1" applyFill="1" applyBorder="1" applyAlignment="1" applyProtection="1">
      <alignment/>
      <protection/>
    </xf>
    <xf numFmtId="0" fontId="1" fillId="0" borderId="104" xfId="0" applyFont="1" applyFill="1" applyBorder="1" applyAlignment="1" applyProtection="1">
      <alignment/>
      <protection/>
    </xf>
    <xf numFmtId="0" fontId="1" fillId="0" borderId="105" xfId="0" applyFont="1" applyFill="1" applyBorder="1" applyAlignment="1" applyProtection="1">
      <alignment/>
      <protection/>
    </xf>
    <xf numFmtId="0" fontId="1" fillId="0" borderId="76" xfId="0" applyFont="1" applyFill="1" applyBorder="1" applyAlignment="1" applyProtection="1">
      <alignment/>
      <protection/>
    </xf>
    <xf numFmtId="0" fontId="1" fillId="0" borderId="106" xfId="0" applyFont="1" applyFill="1" applyBorder="1" applyAlignment="1" applyProtection="1">
      <alignment/>
      <protection/>
    </xf>
    <xf numFmtId="0" fontId="1" fillId="0" borderId="72" xfId="0" applyFont="1" applyFill="1" applyBorder="1" applyAlignment="1" applyProtection="1">
      <alignment/>
      <protection/>
    </xf>
    <xf numFmtId="0" fontId="0" fillId="0" borderId="107" xfId="0" applyFont="1" applyFill="1" applyBorder="1" applyAlignment="1" applyProtection="1">
      <alignment/>
      <protection/>
    </xf>
    <xf numFmtId="0" fontId="0" fillId="0" borderId="108" xfId="0" applyFont="1" applyFill="1" applyBorder="1" applyAlignment="1" applyProtection="1">
      <alignment/>
      <protection/>
    </xf>
    <xf numFmtId="0" fontId="1" fillId="0" borderId="109" xfId="0" applyFont="1" applyFill="1" applyBorder="1" applyAlignment="1" applyProtection="1">
      <alignment/>
      <protection/>
    </xf>
    <xf numFmtId="0" fontId="1" fillId="0" borderId="110" xfId="0" applyFont="1" applyFill="1" applyBorder="1" applyAlignment="1" applyProtection="1">
      <alignment/>
      <protection/>
    </xf>
    <xf numFmtId="0" fontId="1" fillId="0" borderId="100" xfId="0" applyFont="1" applyFill="1" applyBorder="1" applyAlignment="1" applyProtection="1">
      <alignment/>
      <protection/>
    </xf>
    <xf numFmtId="0" fontId="10" fillId="34" borderId="14" xfId="0" applyFont="1" applyFill="1" applyBorder="1" applyAlignment="1" applyProtection="1">
      <alignment horizontal="center" vertical="center" wrapText="1"/>
      <protection/>
    </xf>
    <xf numFmtId="0" fontId="10" fillId="34" borderId="33" xfId="0" applyFont="1" applyFill="1" applyBorder="1" applyAlignment="1" applyProtection="1">
      <alignment horizontal="center" vertical="center" wrapText="1"/>
      <protection/>
    </xf>
    <xf numFmtId="0" fontId="13" fillId="37" borderId="27" xfId="0" applyFont="1" applyFill="1" applyBorder="1" applyAlignment="1" applyProtection="1">
      <alignment vertical="center"/>
      <protection/>
    </xf>
    <xf numFmtId="0" fontId="13" fillId="36" borderId="27" xfId="0" applyNumberFormat="1" applyFont="1" applyFill="1" applyBorder="1" applyAlignment="1" applyProtection="1">
      <alignment horizontal="center" vertical="center"/>
      <protection locked="0"/>
    </xf>
    <xf numFmtId="0" fontId="13" fillId="37" borderId="81" xfId="0" applyFont="1" applyFill="1" applyBorder="1" applyAlignment="1" applyProtection="1">
      <alignment vertical="center"/>
      <protection/>
    </xf>
    <xf numFmtId="0" fontId="13" fillId="37" borderId="111" xfId="0" applyFont="1" applyFill="1" applyBorder="1" applyAlignment="1" applyProtection="1">
      <alignment vertical="center" wrapText="1"/>
      <protection/>
    </xf>
    <xf numFmtId="0" fontId="13" fillId="36" borderId="111" xfId="0" applyNumberFormat="1" applyFont="1" applyFill="1" applyBorder="1" applyAlignment="1" applyProtection="1">
      <alignment horizontal="center" vertical="center"/>
      <protection locked="0"/>
    </xf>
    <xf numFmtId="0" fontId="1" fillId="0" borderId="72" xfId="0" applyFont="1" applyFill="1" applyBorder="1" applyAlignment="1" applyProtection="1">
      <alignment horizontal="left"/>
      <protection/>
    </xf>
    <xf numFmtId="0" fontId="1" fillId="0" borderId="107" xfId="0" applyFont="1" applyFill="1" applyBorder="1" applyAlignment="1" applyProtection="1">
      <alignment horizontal="center"/>
      <protection/>
    </xf>
    <xf numFmtId="0" fontId="0" fillId="0" borderId="107" xfId="0" applyFont="1" applyFill="1" applyBorder="1" applyAlignment="1" applyProtection="1">
      <alignment horizontal="center"/>
      <protection/>
    </xf>
    <xf numFmtId="0" fontId="0" fillId="0" borderId="108" xfId="0" applyFont="1" applyFill="1" applyBorder="1" applyAlignment="1" applyProtection="1">
      <alignment horizontal="center"/>
      <protection/>
    </xf>
    <xf numFmtId="0" fontId="1" fillId="0" borderId="103" xfId="0" applyFont="1" applyFill="1" applyBorder="1" applyAlignment="1" applyProtection="1">
      <alignment horizontal="center" wrapText="1"/>
      <protection/>
    </xf>
    <xf numFmtId="0" fontId="1" fillId="0" borderId="77" xfId="0" applyFont="1" applyFill="1" applyBorder="1" applyAlignment="1" applyProtection="1">
      <alignment horizontal="center"/>
      <protection/>
    </xf>
    <xf numFmtId="0" fontId="0" fillId="0" borderId="104" xfId="0" applyFont="1" applyFill="1" applyBorder="1" applyAlignment="1" applyProtection="1">
      <alignment horizontal="center"/>
      <protection/>
    </xf>
    <xf numFmtId="0" fontId="1" fillId="0" borderId="103" xfId="0" applyFont="1" applyFill="1" applyBorder="1" applyAlignment="1" applyProtection="1">
      <alignment horizontal="center"/>
      <protection/>
    </xf>
    <xf numFmtId="0" fontId="1" fillId="0" borderId="104" xfId="0" applyFont="1" applyFill="1" applyBorder="1" applyAlignment="1" applyProtection="1">
      <alignment horizontal="center"/>
      <protection/>
    </xf>
    <xf numFmtId="0" fontId="1" fillId="0" borderId="109" xfId="0" applyFont="1" applyFill="1" applyBorder="1" applyAlignment="1" applyProtection="1">
      <alignment horizontal="center"/>
      <protection/>
    </xf>
    <xf numFmtId="0" fontId="1" fillId="0" borderId="110" xfId="0" applyFont="1" applyFill="1" applyBorder="1" applyAlignment="1" applyProtection="1">
      <alignment horizontal="center"/>
      <protection/>
    </xf>
    <xf numFmtId="0" fontId="1" fillId="0" borderId="100" xfId="0" applyFont="1" applyFill="1" applyBorder="1" applyAlignment="1" applyProtection="1">
      <alignment horizontal="center"/>
      <protection/>
    </xf>
    <xf numFmtId="165" fontId="0" fillId="0" borderId="0" xfId="0" applyNumberFormat="1" applyFill="1" applyBorder="1" applyAlignment="1" applyProtection="1">
      <alignment/>
      <protection/>
    </xf>
    <xf numFmtId="1" fontId="0" fillId="0" borderId="0" xfId="0" applyNumberFormat="1" applyFill="1" applyBorder="1" applyAlignment="1" applyProtection="1">
      <alignment/>
      <protection/>
    </xf>
    <xf numFmtId="0" fontId="13" fillId="0" borderId="10" xfId="0" applyFont="1" applyFill="1" applyBorder="1" applyAlignment="1" applyProtection="1">
      <alignment/>
      <protection/>
    </xf>
    <xf numFmtId="0" fontId="13" fillId="0" borderId="61" xfId="0" applyFont="1" applyFill="1" applyBorder="1" applyAlignment="1" applyProtection="1">
      <alignment vertical="center" wrapText="1"/>
      <protection/>
    </xf>
    <xf numFmtId="0" fontId="13" fillId="0" borderId="62" xfId="0" applyFont="1" applyFill="1" applyBorder="1" applyAlignment="1" applyProtection="1">
      <alignment vertical="center" wrapText="1"/>
      <protection/>
    </xf>
    <xf numFmtId="0" fontId="13" fillId="0" borderId="16" xfId="0" applyFont="1" applyFill="1" applyBorder="1" applyAlignment="1" applyProtection="1">
      <alignment vertical="center" wrapText="1"/>
      <protection/>
    </xf>
    <xf numFmtId="0" fontId="13" fillId="0" borderId="18" xfId="0" applyFont="1" applyFill="1" applyBorder="1" applyAlignment="1" applyProtection="1">
      <alignment vertical="center" wrapText="1"/>
      <protection/>
    </xf>
    <xf numFmtId="2" fontId="13" fillId="0" borderId="0" xfId="0" applyNumberFormat="1" applyFont="1" applyFill="1" applyBorder="1" applyAlignment="1" applyProtection="1">
      <alignment vertical="center" wrapText="1"/>
      <protection/>
    </xf>
    <xf numFmtId="2" fontId="0" fillId="0" borderId="0" xfId="0" applyNumberFormat="1" applyFill="1" applyBorder="1" applyAlignment="1" applyProtection="1">
      <alignment horizontal="right"/>
      <protection/>
    </xf>
    <xf numFmtId="2" fontId="13" fillId="0" borderId="17" xfId="0" applyNumberFormat="1" applyFont="1" applyFill="1" applyBorder="1" applyAlignment="1" applyProtection="1">
      <alignment horizontal="right" vertical="center" wrapText="1"/>
      <protection/>
    </xf>
    <xf numFmtId="0" fontId="0" fillId="0" borderId="62" xfId="0" applyBorder="1" applyAlignment="1" applyProtection="1">
      <alignment/>
      <protection/>
    </xf>
    <xf numFmtId="0" fontId="0" fillId="0" borderId="61" xfId="0" applyFont="1" applyBorder="1" applyAlignment="1">
      <alignment/>
    </xf>
    <xf numFmtId="0" fontId="3" fillId="0" borderId="0" xfId="0" applyFont="1" applyAlignment="1">
      <alignment horizontal="left" indent="4"/>
    </xf>
    <xf numFmtId="0" fontId="5" fillId="0" borderId="0" xfId="0" applyFont="1" applyAlignment="1">
      <alignment/>
    </xf>
    <xf numFmtId="165" fontId="0" fillId="0" borderId="0" xfId="0" applyNumberFormat="1" applyBorder="1" applyAlignment="1" applyProtection="1">
      <alignment/>
      <protection/>
    </xf>
    <xf numFmtId="0" fontId="13" fillId="0" borderId="0" xfId="0" applyFont="1" applyAlignment="1">
      <alignment/>
    </xf>
    <xf numFmtId="0" fontId="13" fillId="0" borderId="0" xfId="0" applyFont="1" applyAlignment="1">
      <alignment wrapText="1"/>
    </xf>
    <xf numFmtId="0" fontId="0" fillId="0" borderId="0" xfId="0" applyFont="1" applyAlignment="1">
      <alignment wrapText="1"/>
    </xf>
    <xf numFmtId="0" fontId="13" fillId="0" borderId="0" xfId="0" applyFont="1" applyAlignment="1">
      <alignment wrapText="1"/>
    </xf>
    <xf numFmtId="0" fontId="13" fillId="0" borderId="0" xfId="0" applyFont="1" applyAlignment="1" applyProtection="1">
      <alignment wrapText="1"/>
      <protection/>
    </xf>
    <xf numFmtId="0" fontId="13" fillId="0" borderId="0" xfId="0" applyFont="1" applyAlignment="1">
      <alignment/>
    </xf>
    <xf numFmtId="0" fontId="13" fillId="0" borderId="0" xfId="0" applyFont="1" applyBorder="1" applyAlignment="1">
      <alignment/>
    </xf>
    <xf numFmtId="0" fontId="13" fillId="0" borderId="11" xfId="0" applyNumberFormat="1" applyFont="1" applyFill="1" applyBorder="1" applyAlignment="1" applyProtection="1">
      <alignment horizontal="center" vertical="center"/>
      <protection locked="0"/>
    </xf>
    <xf numFmtId="0" fontId="13" fillId="0" borderId="12" xfId="0" applyNumberFormat="1" applyFont="1" applyFill="1" applyBorder="1" applyAlignment="1" applyProtection="1">
      <alignment horizontal="center" vertical="center"/>
      <protection locked="0"/>
    </xf>
    <xf numFmtId="0" fontId="13" fillId="0" borderId="61" xfId="0" applyFont="1" applyBorder="1" applyAlignment="1">
      <alignment/>
    </xf>
    <xf numFmtId="0" fontId="13" fillId="0" borderId="62" xfId="0" applyFont="1" applyBorder="1" applyAlignment="1">
      <alignment/>
    </xf>
    <xf numFmtId="0" fontId="13" fillId="0" borderId="16" xfId="0" applyFont="1" applyBorder="1" applyAlignment="1">
      <alignment/>
    </xf>
    <xf numFmtId="0" fontId="13" fillId="0" borderId="17" xfId="0" applyFont="1" applyBorder="1" applyAlignment="1">
      <alignment/>
    </xf>
    <xf numFmtId="0" fontId="13" fillId="0" borderId="18" xfId="0" applyFont="1" applyBorder="1" applyAlignment="1">
      <alignment/>
    </xf>
    <xf numFmtId="0" fontId="0" fillId="35" borderId="93" xfId="0" applyFill="1" applyBorder="1" applyAlignment="1" applyProtection="1">
      <alignment horizontal="center" vertical="top" wrapText="1"/>
      <protection/>
    </xf>
    <xf numFmtId="0" fontId="0" fillId="35" borderId="28" xfId="0" applyFill="1" applyBorder="1" applyAlignment="1" applyProtection="1">
      <alignment vertical="top" wrapText="1"/>
      <protection/>
    </xf>
    <xf numFmtId="0" fontId="3" fillId="0" borderId="112" xfId="0" applyFont="1" applyBorder="1" applyAlignment="1">
      <alignment horizontal="left" indent="4"/>
    </xf>
    <xf numFmtId="0" fontId="0" fillId="0" borderId="113" xfId="0" applyBorder="1" applyAlignment="1" applyProtection="1">
      <alignment/>
      <protection/>
    </xf>
    <xf numFmtId="0" fontId="0" fillId="0" borderId="114" xfId="0" applyBorder="1" applyAlignment="1">
      <alignment/>
    </xf>
    <xf numFmtId="0" fontId="3" fillId="0" borderId="115" xfId="0" applyFont="1" applyBorder="1" applyAlignment="1">
      <alignment horizontal="center" wrapText="1"/>
    </xf>
    <xf numFmtId="0" fontId="5" fillId="0" borderId="116" xfId="0" applyFont="1" applyBorder="1" applyAlignment="1">
      <alignment horizontal="center" wrapText="1"/>
    </xf>
    <xf numFmtId="0" fontId="5" fillId="0" borderId="115" xfId="0" applyFont="1" applyBorder="1" applyAlignment="1">
      <alignment horizontal="center" wrapText="1"/>
    </xf>
    <xf numFmtId="0" fontId="5" fillId="0" borderId="117" xfId="0" applyFont="1" applyBorder="1" applyAlignment="1">
      <alignment horizontal="center" wrapText="1"/>
    </xf>
    <xf numFmtId="0" fontId="5" fillId="0" borderId="118" xfId="0" applyFont="1" applyBorder="1" applyAlignment="1">
      <alignment horizontal="center" wrapText="1"/>
    </xf>
    <xf numFmtId="0" fontId="0" fillId="0" borderId="61" xfId="0" applyFill="1" applyBorder="1" applyAlignment="1" applyProtection="1">
      <alignment horizontal="left"/>
      <protection/>
    </xf>
    <xf numFmtId="0" fontId="0" fillId="0" borderId="61" xfId="0" applyBorder="1" applyAlignment="1" applyProtection="1">
      <alignment horizontal="left"/>
      <protection/>
    </xf>
    <xf numFmtId="0" fontId="0" fillId="0" borderId="62" xfId="0" applyFont="1" applyFill="1" applyBorder="1" applyAlignment="1" applyProtection="1">
      <alignment/>
      <protection/>
    </xf>
    <xf numFmtId="0" fontId="13" fillId="0" borderId="10" xfId="0" applyFont="1" applyFill="1" applyBorder="1" applyAlignment="1" applyProtection="1">
      <alignment horizontal="center"/>
      <protection/>
    </xf>
    <xf numFmtId="2" fontId="0" fillId="36" borderId="33" xfId="0" applyNumberFormat="1" applyFill="1" applyBorder="1" applyAlignment="1" applyProtection="1">
      <alignment horizontal="center" vertical="center"/>
      <protection locked="0"/>
    </xf>
    <xf numFmtId="0" fontId="10" fillId="34" borderId="94" xfId="0" applyFont="1" applyFill="1" applyBorder="1" applyAlignment="1" applyProtection="1">
      <alignment horizontal="center" vertical="center" wrapText="1"/>
      <protection/>
    </xf>
    <xf numFmtId="0" fontId="0" fillId="39" borderId="98" xfId="0" applyFill="1" applyBorder="1" applyAlignment="1" applyProtection="1">
      <alignment vertical="top"/>
      <protection/>
    </xf>
    <xf numFmtId="0" fontId="0" fillId="39" borderId="99" xfId="0" applyFill="1" applyBorder="1" applyAlignment="1" applyProtection="1">
      <alignment vertical="top"/>
      <protection/>
    </xf>
    <xf numFmtId="0" fontId="0" fillId="0" borderId="86" xfId="0" applyBorder="1" applyAlignment="1" applyProtection="1">
      <alignment/>
      <protection/>
    </xf>
    <xf numFmtId="0" fontId="10" fillId="34" borderId="78" xfId="0" applyFont="1" applyFill="1" applyBorder="1" applyAlignment="1" applyProtection="1">
      <alignment horizontal="center"/>
      <protection/>
    </xf>
    <xf numFmtId="176" fontId="13" fillId="43" borderId="119" xfId="0" applyNumberFormat="1" applyFont="1" applyFill="1" applyBorder="1" applyAlignment="1" applyProtection="1">
      <alignment/>
      <protection/>
    </xf>
    <xf numFmtId="0" fontId="0" fillId="0" borderId="75" xfId="0" applyBorder="1" applyAlignment="1">
      <alignment/>
    </xf>
    <xf numFmtId="0" fontId="10" fillId="34" borderId="120" xfId="0" applyFont="1" applyFill="1" applyBorder="1" applyAlignment="1" applyProtection="1">
      <alignment horizontal="center"/>
      <protection/>
    </xf>
    <xf numFmtId="0" fontId="10" fillId="34" borderId="83" xfId="0" applyFont="1" applyFill="1" applyBorder="1" applyAlignment="1" applyProtection="1">
      <alignment horizontal="center"/>
      <protection/>
    </xf>
    <xf numFmtId="176" fontId="13" fillId="43" borderId="121" xfId="0" applyNumberFormat="1" applyFont="1" applyFill="1" applyBorder="1" applyAlignment="1" applyProtection="1">
      <alignment/>
      <protection/>
    </xf>
    <xf numFmtId="164" fontId="13" fillId="43" borderId="119" xfId="0" applyNumberFormat="1" applyFont="1" applyFill="1" applyBorder="1" applyAlignment="1" applyProtection="1">
      <alignment horizontal="right"/>
      <protection/>
    </xf>
    <xf numFmtId="0" fontId="25" fillId="35" borderId="31" xfId="0" applyFont="1" applyFill="1" applyBorder="1" applyAlignment="1" applyProtection="1" quotePrefix="1">
      <alignment horizontal="center"/>
      <protection/>
    </xf>
    <xf numFmtId="0" fontId="1" fillId="0" borderId="122" xfId="0" applyFont="1" applyBorder="1" applyAlignment="1" applyProtection="1" quotePrefix="1">
      <alignment horizontal="left" vertical="center" wrapText="1"/>
      <protection/>
    </xf>
    <xf numFmtId="0" fontId="13" fillId="43" borderId="0" xfId="0" applyFont="1" applyFill="1" applyAlignment="1" applyProtection="1">
      <alignment/>
      <protection/>
    </xf>
    <xf numFmtId="0" fontId="0" fillId="43" borderId="0" xfId="0" applyFill="1" applyAlignment="1" applyProtection="1">
      <alignment/>
      <protection/>
    </xf>
    <xf numFmtId="0" fontId="0" fillId="43" borderId="0" xfId="0" applyFill="1" applyAlignment="1" applyProtection="1">
      <alignment horizontal="right"/>
      <protection/>
    </xf>
    <xf numFmtId="164" fontId="0" fillId="0" borderId="0" xfId="0" applyNumberFormat="1" applyAlignment="1" applyProtection="1">
      <alignment/>
      <protection/>
    </xf>
    <xf numFmtId="0" fontId="13" fillId="38" borderId="27" xfId="0" applyFont="1" applyFill="1" applyBorder="1" applyAlignment="1" applyProtection="1">
      <alignment horizontal="centerContinuous" vertical="center"/>
      <protection/>
    </xf>
    <xf numFmtId="0" fontId="0" fillId="0" borderId="10" xfId="0" applyFont="1" applyBorder="1" applyAlignment="1">
      <alignment/>
    </xf>
    <xf numFmtId="0" fontId="0" fillId="0" borderId="11" xfId="0" applyFont="1" applyBorder="1" applyAlignment="1">
      <alignment/>
    </xf>
    <xf numFmtId="0" fontId="0"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27" xfId="0" applyFont="1" applyBorder="1" applyAlignment="1">
      <alignment/>
    </xf>
    <xf numFmtId="1" fontId="0" fillId="0" borderId="15" xfId="0" applyNumberFormat="1"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73" fillId="35" borderId="31" xfId="0" applyFont="1" applyFill="1" applyBorder="1" applyAlignment="1" applyProtection="1">
      <alignment/>
      <protection/>
    </xf>
    <xf numFmtId="0" fontId="73" fillId="35" borderId="31" xfId="0" applyFont="1" applyFill="1" applyBorder="1" applyAlignment="1" applyProtection="1">
      <alignment horizontal="center"/>
      <protection/>
    </xf>
    <xf numFmtId="0" fontId="0" fillId="0" borderId="0" xfId="0" applyFont="1" applyAlignment="1">
      <alignment/>
    </xf>
    <xf numFmtId="0" fontId="0" fillId="0" borderId="0" xfId="0" applyFont="1" applyAlignment="1" applyProtection="1">
      <alignment/>
      <protection/>
    </xf>
    <xf numFmtId="0" fontId="0" fillId="0" borderId="0" xfId="0" applyAlignment="1">
      <alignment horizontal="center" wrapText="1"/>
    </xf>
    <xf numFmtId="0" fontId="0" fillId="0" borderId="0" xfId="0" applyAlignment="1">
      <alignment horizontal="center"/>
    </xf>
    <xf numFmtId="0" fontId="8" fillId="35" borderId="29" xfId="0" applyFont="1" applyFill="1" applyBorder="1" applyAlignment="1" applyProtection="1">
      <alignment horizontal="center" vertical="center" wrapText="1"/>
      <protection/>
    </xf>
    <xf numFmtId="0" fontId="0" fillId="0" borderId="29" xfId="0" applyBorder="1" applyAlignment="1" applyProtection="1">
      <alignment/>
      <protection/>
    </xf>
    <xf numFmtId="0" fontId="0" fillId="0" borderId="123" xfId="0" applyBorder="1" applyAlignment="1" applyProtection="1">
      <alignment/>
      <protection/>
    </xf>
    <xf numFmtId="0" fontId="8" fillId="0" borderId="28" xfId="0" applyFont="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23" xfId="0"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12" fillId="33" borderId="101" xfId="0" applyFont="1" applyFill="1" applyBorder="1" applyAlignment="1" applyProtection="1">
      <alignment horizontal="center" vertical="center" wrapText="1"/>
      <protection/>
    </xf>
    <xf numFmtId="0" fontId="0" fillId="0" borderId="10" xfId="0" applyBorder="1" applyAlignment="1" applyProtection="1">
      <alignment/>
      <protection/>
    </xf>
    <xf numFmtId="0" fontId="0" fillId="0" borderId="124" xfId="0" applyBorder="1" applyAlignment="1">
      <alignment/>
    </xf>
    <xf numFmtId="0" fontId="0" fillId="0" borderId="86" xfId="0" applyBorder="1" applyAlignment="1" applyProtection="1">
      <alignment/>
      <protection/>
    </xf>
    <xf numFmtId="0" fontId="0" fillId="0" borderId="84" xfId="0" applyBorder="1" applyAlignment="1">
      <alignment/>
    </xf>
    <xf numFmtId="0" fontId="0" fillId="0" borderId="85" xfId="0" applyBorder="1" applyAlignment="1" applyProtection="1">
      <alignment/>
      <protection/>
    </xf>
    <xf numFmtId="0" fontId="0" fillId="0" borderId="101" xfId="0" applyBorder="1" applyAlignment="1">
      <alignment/>
    </xf>
    <xf numFmtId="0" fontId="8" fillId="0" borderId="85" xfId="0" applyFont="1" applyBorder="1" applyAlignment="1" applyProtection="1">
      <alignment/>
      <protection/>
    </xf>
    <xf numFmtId="0" fontId="0" fillId="0" borderId="125" xfId="0" applyBorder="1" applyAlignment="1" applyProtection="1">
      <alignment vertical="center"/>
      <protection/>
    </xf>
    <xf numFmtId="0" fontId="0" fillId="0" borderId="126" xfId="0" applyBorder="1" applyAlignment="1">
      <alignment vertical="center"/>
    </xf>
    <xf numFmtId="0" fontId="0" fillId="0" borderId="85" xfId="0" applyBorder="1" applyAlignment="1" applyProtection="1">
      <alignment vertical="center"/>
      <protection/>
    </xf>
    <xf numFmtId="0" fontId="0" fillId="0" borderId="101" xfId="0" applyBorder="1" applyAlignment="1">
      <alignment vertical="center"/>
    </xf>
    <xf numFmtId="0" fontId="0" fillId="36" borderId="27" xfId="0" applyFill="1"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9" fillId="35" borderId="16" xfId="0"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9" fillId="35" borderId="18" xfId="0" applyFont="1" applyFill="1" applyBorder="1" applyAlignment="1" applyProtection="1">
      <alignment vertical="center" wrapText="1"/>
      <protection/>
    </xf>
    <xf numFmtId="0" fontId="0" fillId="36" borderId="90" xfId="0" applyFill="1" applyBorder="1" applyAlignment="1" applyProtection="1">
      <alignment horizontal="center" vertical="center" wrapText="1"/>
      <protection locked="0"/>
    </xf>
    <xf numFmtId="0" fontId="0" fillId="36" borderId="123" xfId="0"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xf>
    <xf numFmtId="0" fontId="0" fillId="0" borderId="128"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36" borderId="79" xfId="0" applyFill="1" applyBorder="1" applyAlignment="1" applyProtection="1">
      <alignment horizontal="center" vertical="center" wrapText="1"/>
      <protection locked="0"/>
    </xf>
    <xf numFmtId="0" fontId="0" fillId="36" borderId="129" xfId="0" applyFill="1" applyBorder="1" applyAlignment="1" applyProtection="1">
      <alignment horizontal="center" vertical="center" wrapText="1"/>
      <protection locked="0"/>
    </xf>
    <xf numFmtId="0" fontId="8" fillId="45" borderId="72" xfId="0" applyFont="1" applyFill="1" applyBorder="1" applyAlignment="1" applyProtection="1">
      <alignment vertical="top" wrapText="1"/>
      <protection/>
    </xf>
    <xf numFmtId="0" fontId="8" fillId="45" borderId="107" xfId="0" applyFont="1" applyFill="1" applyBorder="1" applyAlignment="1" applyProtection="1">
      <alignment vertical="top" wrapText="1"/>
      <protection/>
    </xf>
    <xf numFmtId="0" fontId="0" fillId="0" borderId="107" xfId="0" applyBorder="1" applyAlignment="1">
      <alignment vertical="top" wrapText="1"/>
    </xf>
    <xf numFmtId="0" fontId="0" fillId="0" borderId="108" xfId="0" applyBorder="1" applyAlignment="1">
      <alignment vertical="top" wrapText="1"/>
    </xf>
    <xf numFmtId="0" fontId="0" fillId="45" borderId="107" xfId="0" applyFill="1" applyBorder="1" applyAlignment="1" applyProtection="1">
      <alignment vertical="top" wrapText="1"/>
      <protection/>
    </xf>
    <xf numFmtId="0" fontId="0" fillId="45" borderId="108" xfId="0" applyFill="1" applyBorder="1" applyAlignment="1" applyProtection="1">
      <alignment vertical="top" wrapText="1"/>
      <protection/>
    </xf>
    <xf numFmtId="0" fontId="8" fillId="45" borderId="10" xfId="0" applyFont="1" applyFill="1" applyBorder="1" applyAlignment="1" applyProtection="1">
      <alignment vertical="top" wrapText="1"/>
      <protection/>
    </xf>
    <xf numFmtId="0" fontId="8" fillId="45" borderId="11" xfId="0" applyFont="1" applyFill="1" applyBorder="1" applyAlignment="1" applyProtection="1">
      <alignment vertical="top" wrapText="1"/>
      <protection/>
    </xf>
    <xf numFmtId="0" fontId="0" fillId="45" borderId="11" xfId="0" applyFill="1" applyBorder="1" applyAlignment="1" applyProtection="1">
      <alignment vertical="top" wrapText="1"/>
      <protection/>
    </xf>
    <xf numFmtId="0" fontId="0" fillId="45" borderId="12" xfId="0" applyFill="1" applyBorder="1" applyAlignment="1" applyProtection="1">
      <alignment vertical="top" wrapText="1"/>
      <protection/>
    </xf>
    <xf numFmtId="0" fontId="8" fillId="45" borderId="28" xfId="0" applyFont="1" applyFill="1" applyBorder="1" applyAlignment="1" applyProtection="1">
      <alignment vertical="top" wrapText="1"/>
      <protection/>
    </xf>
    <xf numFmtId="0" fontId="8" fillId="45" borderId="29" xfId="0" applyFont="1" applyFill="1" applyBorder="1" applyAlignment="1" applyProtection="1">
      <alignment vertical="top" wrapText="1"/>
      <protection/>
    </xf>
    <xf numFmtId="0" fontId="0" fillId="0" borderId="29" xfId="0" applyBorder="1" applyAlignment="1">
      <alignment vertical="top" wrapText="1"/>
    </xf>
    <xf numFmtId="0" fontId="0" fillId="0" borderId="123" xfId="0" applyBorder="1" applyAlignment="1">
      <alignment vertical="top" wrapText="1"/>
    </xf>
    <xf numFmtId="0" fontId="0" fillId="0" borderId="125" xfId="0" applyBorder="1" applyAlignment="1" applyProtection="1">
      <alignment/>
      <protection/>
    </xf>
    <xf numFmtId="0" fontId="0" fillId="0" borderId="126" xfId="0" applyBorder="1" applyAlignment="1">
      <alignment/>
    </xf>
    <xf numFmtId="0" fontId="0" fillId="0" borderId="11" xfId="0" applyBorder="1" applyAlignment="1" applyProtection="1">
      <alignment vertical="top" wrapText="1"/>
      <protection/>
    </xf>
    <xf numFmtId="0" fontId="0" fillId="0" borderId="11" xfId="0" applyBorder="1" applyAlignment="1">
      <alignment wrapText="1"/>
    </xf>
    <xf numFmtId="0" fontId="23" fillId="35" borderId="10" xfId="0" applyFont="1" applyFill="1" applyBorder="1" applyAlignment="1" applyProtection="1">
      <alignment vertical="center" wrapText="1"/>
      <protection/>
    </xf>
    <xf numFmtId="0" fontId="23" fillId="35" borderId="11" xfId="0" applyFont="1" applyFill="1" applyBorder="1" applyAlignment="1" applyProtection="1">
      <alignment vertical="center" wrapText="1"/>
      <protection/>
    </xf>
    <xf numFmtId="0" fontId="23" fillId="35" borderId="12" xfId="0" applyFont="1" applyFill="1" applyBorder="1" applyAlignment="1" applyProtection="1">
      <alignment vertical="center" wrapText="1"/>
      <protection/>
    </xf>
    <xf numFmtId="0" fontId="26" fillId="0" borderId="0" xfId="0" applyFont="1" applyBorder="1" applyAlignment="1" quotePrefix="1">
      <alignment vertical="center" wrapText="1"/>
    </xf>
    <xf numFmtId="0" fontId="26" fillId="0" borderId="0" xfId="0" applyFont="1" applyBorder="1" applyAlignment="1">
      <alignment vertical="center" wrapText="1"/>
    </xf>
    <xf numFmtId="0" fontId="26" fillId="0" borderId="0" xfId="0" applyFont="1" applyBorder="1" applyAlignment="1">
      <alignment wrapText="1"/>
    </xf>
    <xf numFmtId="0" fontId="0" fillId="0" borderId="0" xfId="0" applyBorder="1" applyAlignment="1" applyProtection="1">
      <alignment vertical="top" wrapText="1"/>
      <protection/>
    </xf>
    <xf numFmtId="0" fontId="0" fillId="0" borderId="0" xfId="0" applyBorder="1" applyAlignment="1">
      <alignment/>
    </xf>
    <xf numFmtId="0" fontId="0" fillId="35" borderId="72" xfId="0" applyFill="1" applyBorder="1" applyAlignment="1" applyProtection="1">
      <alignment/>
      <protection/>
    </xf>
    <xf numFmtId="0" fontId="0" fillId="35" borderId="107" xfId="0" applyFill="1" applyBorder="1" applyAlignment="1" applyProtection="1">
      <alignment/>
      <protection/>
    </xf>
    <xf numFmtId="0" fontId="0" fillId="35" borderId="108" xfId="0" applyFill="1" applyBorder="1" applyAlignment="1" applyProtection="1">
      <alignment/>
      <protection/>
    </xf>
    <xf numFmtId="0" fontId="0" fillId="0" borderId="130"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3" fillId="0" borderId="131" xfId="0" applyFont="1" applyBorder="1" applyAlignment="1">
      <alignment horizontal="center" wrapText="1"/>
    </xf>
    <xf numFmtId="0" fontId="0" fillId="0" borderId="116" xfId="0" applyBorder="1" applyAlignment="1">
      <alignment/>
    </xf>
    <xf numFmtId="0" fontId="8" fillId="45" borderId="132" xfId="0" applyFont="1" applyFill="1" applyBorder="1" applyAlignment="1" applyProtection="1">
      <alignment vertical="top" wrapText="1"/>
      <protection/>
    </xf>
    <xf numFmtId="0" fontId="0" fillId="0" borderId="107" xfId="0" applyBorder="1" applyAlignment="1" applyProtection="1">
      <alignment vertical="top" wrapText="1"/>
      <protection/>
    </xf>
    <xf numFmtId="0" fontId="0" fillId="0" borderId="47" xfId="0" applyBorder="1" applyAlignment="1" applyProtection="1">
      <alignment vertical="top" wrapText="1"/>
      <protection/>
    </xf>
    <xf numFmtId="0" fontId="0" fillId="0" borderId="48" xfId="0" applyBorder="1" applyAlignment="1">
      <alignment horizontal="center" vertical="center" wrapText="1"/>
    </xf>
    <xf numFmtId="0" fontId="0" fillId="0" borderId="101" xfId="0" applyBorder="1" applyAlignment="1">
      <alignment horizontal="center" vertical="center" wrapText="1"/>
    </xf>
    <xf numFmtId="0" fontId="35" fillId="0" borderId="79" xfId="0" applyFont="1" applyFill="1" applyBorder="1" applyAlignment="1" applyProtection="1">
      <alignment wrapText="1"/>
      <protection/>
    </xf>
    <xf numFmtId="0" fontId="34" fillId="0" borderId="74" xfId="0" applyFont="1" applyFill="1" applyBorder="1" applyAlignment="1">
      <alignment wrapText="1"/>
    </xf>
    <xf numFmtId="0" fontId="34" fillId="0" borderId="80" xfId="0" applyFont="1" applyFill="1" applyBorder="1" applyAlignment="1">
      <alignment wrapText="1"/>
    </xf>
    <xf numFmtId="0" fontId="33" fillId="0" borderId="87" xfId="0" applyFont="1" applyFill="1" applyBorder="1" applyAlignment="1" applyProtection="1">
      <alignment wrapText="1"/>
      <protection/>
    </xf>
    <xf numFmtId="0" fontId="34" fillId="0" borderId="17" xfId="0" applyFont="1" applyFill="1" applyBorder="1" applyAlignment="1">
      <alignment wrapText="1"/>
    </xf>
    <xf numFmtId="0" fontId="34" fillId="0" borderId="102" xfId="0" applyFont="1" applyFill="1" applyBorder="1" applyAlignment="1">
      <alignment wrapText="1"/>
    </xf>
    <xf numFmtId="49" fontId="24" fillId="0" borderId="27" xfId="0" applyNumberFormat="1" applyFont="1" applyBorder="1" applyAlignment="1">
      <alignment wrapText="1"/>
    </xf>
    <xf numFmtId="49" fontId="24" fillId="0" borderId="48" xfId="0" applyNumberFormat="1" applyFont="1" applyBorder="1" applyAlignment="1">
      <alignment wrapText="1"/>
    </xf>
    <xf numFmtId="49" fontId="24" fillId="0" borderId="101" xfId="0" applyNumberFormat="1" applyFont="1" applyBorder="1" applyAlignment="1">
      <alignment wrapText="1"/>
    </xf>
    <xf numFmtId="0" fontId="0" fillId="0" borderId="27" xfId="0" applyFont="1" applyFill="1" applyBorder="1" applyAlignment="1">
      <alignment vertical="center" wrapText="1"/>
    </xf>
    <xf numFmtId="0" fontId="0" fillId="0" borderId="48" xfId="0" applyFont="1" applyBorder="1" applyAlignment="1">
      <alignment/>
    </xf>
    <xf numFmtId="0" fontId="0" fillId="0" borderId="101" xfId="0" applyFont="1" applyBorder="1" applyAlignment="1">
      <alignment/>
    </xf>
    <xf numFmtId="49" fontId="0" fillId="0" borderId="27" xfId="0" applyNumberFormat="1" applyFont="1" applyBorder="1" applyAlignment="1">
      <alignment wrapText="1"/>
    </xf>
    <xf numFmtId="49" fontId="0" fillId="0" borderId="48" xfId="0" applyNumberFormat="1" applyFont="1" applyBorder="1" applyAlignment="1">
      <alignment wrapText="1"/>
    </xf>
    <xf numFmtId="49" fontId="0" fillId="0" borderId="101"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indexed="42"/>
      </font>
    </dxf>
    <dxf>
      <fill>
        <patternFill>
          <bgColor indexed="13"/>
        </patternFill>
      </fill>
    </dxf>
    <dxf>
      <fill>
        <patternFill>
          <bgColor indexed="13"/>
        </patternFill>
      </fill>
    </dxf>
    <dxf>
      <fill>
        <patternFill>
          <bgColor indexed="13"/>
        </patternFill>
      </fill>
    </dxf>
    <dxf>
      <font>
        <color rgb="FFCCFF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34</xdr:row>
      <xdr:rowOff>123825</xdr:rowOff>
    </xdr:from>
    <xdr:to>
      <xdr:col>11</xdr:col>
      <xdr:colOff>400050</xdr:colOff>
      <xdr:row>40</xdr:row>
      <xdr:rowOff>123825</xdr:rowOff>
    </xdr:to>
    <xdr:sp>
      <xdr:nvSpPr>
        <xdr:cNvPr id="1" name="Text Box 120"/>
        <xdr:cNvSpPr txBox="1">
          <a:spLocks noChangeArrowheads="1"/>
        </xdr:cNvSpPr>
      </xdr:nvSpPr>
      <xdr:spPr>
        <a:xfrm>
          <a:off x="161925" y="6829425"/>
          <a:ext cx="5753100" cy="8572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Determine the boiler fuel, boiler brand and model name. 
</a:t>
          </a:r>
          <a:r>
            <a:rPr lang="en-US" cap="none" sz="1100" b="0" i="0" u="none" baseline="0">
              <a:solidFill>
                <a:srgbClr val="000000"/>
              </a:solidFill>
              <a:latin typeface="Arial"/>
              <a:ea typeface="Arial"/>
              <a:cs typeface="Arial"/>
            </a:rPr>
            <a:t>On worksheet "Calculate_Savings" enter the boiler fuel (Box Q02), boiler type or brand and model if applicable (Box Q03),  and condensing status (Box Q04) using the down drop menus provided.  Boiler type is usually stated by the SAP software package in the heating or water section.</a:t>
          </a:r>
        </a:p>
      </xdr:txBody>
    </xdr:sp>
    <xdr:clientData/>
  </xdr:twoCellAnchor>
  <xdr:twoCellAnchor>
    <xdr:from>
      <xdr:col>1</xdr:col>
      <xdr:colOff>9525</xdr:colOff>
      <xdr:row>75</xdr:row>
      <xdr:rowOff>9525</xdr:rowOff>
    </xdr:from>
    <xdr:to>
      <xdr:col>11</xdr:col>
      <xdr:colOff>504825</xdr:colOff>
      <xdr:row>80</xdr:row>
      <xdr:rowOff>114300</xdr:rowOff>
    </xdr:to>
    <xdr:sp>
      <xdr:nvSpPr>
        <xdr:cNvPr id="2" name="Text Box 192"/>
        <xdr:cNvSpPr txBox="1">
          <a:spLocks noChangeArrowheads="1"/>
        </xdr:cNvSpPr>
      </xdr:nvSpPr>
      <xdr:spPr>
        <a:xfrm>
          <a:off x="190500" y="12573000"/>
          <a:ext cx="5829300" cy="81915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Carry out the SAP assessment as normal without allowing for the FGHRS, </a:t>
          </a:r>
          <a:r>
            <a:rPr lang="en-US" cap="none" sz="1100" b="1" i="0" u="none" baseline="0">
              <a:solidFill>
                <a:srgbClr val="000000"/>
              </a:solidFill>
              <a:latin typeface="Arial"/>
              <a:ea typeface="Arial"/>
              <a:cs typeface="Arial"/>
            </a:rPr>
            <a:t>omitting any boiler efficiency adjustment in SAP table 4c (section 1)</a:t>
          </a:r>
          <a:r>
            <a:rPr lang="en-US" cap="none" sz="1100" b="0" i="0" u="none" baseline="0">
              <a:solidFill>
                <a:srgbClr val="000000"/>
              </a:solidFill>
              <a:latin typeface="Arial"/>
              <a:ea typeface="Arial"/>
              <a:cs typeface="Arial"/>
            </a:rPr>
            <a:t>; ie, do not select load compensation or weather compensation.  </a:t>
          </a:r>
          <a:r>
            <a:rPr lang="en-US" cap="none" sz="1100" b="1" i="0" u="none" baseline="0">
              <a:solidFill>
                <a:srgbClr val="000000"/>
              </a:solidFill>
              <a:latin typeface="Arial"/>
              <a:ea typeface="Arial"/>
              <a:cs typeface="Arial"/>
            </a:rPr>
            <a:t>If the emitter system is underfloor heating, choose underfloor + radiators</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4</xdr:col>
      <xdr:colOff>142875</xdr:colOff>
      <xdr:row>43</xdr:row>
      <xdr:rowOff>85725</xdr:rowOff>
    </xdr:from>
    <xdr:to>
      <xdr:col>12</xdr:col>
      <xdr:colOff>0</xdr:colOff>
      <xdr:row>74</xdr:row>
      <xdr:rowOff>133350</xdr:rowOff>
    </xdr:to>
    <xdr:grpSp>
      <xdr:nvGrpSpPr>
        <xdr:cNvPr id="3" name="Group 383"/>
        <xdr:cNvGrpSpPr>
          <a:grpSpLocks/>
        </xdr:cNvGrpSpPr>
      </xdr:nvGrpSpPr>
      <xdr:grpSpPr>
        <a:xfrm>
          <a:off x="1924050" y="8077200"/>
          <a:ext cx="4124325" cy="4476750"/>
          <a:chOff x="202" y="714"/>
          <a:chExt cx="433" cy="470"/>
        </a:xfrm>
        <a:solidFill>
          <a:srgbClr val="FFFFFF"/>
        </a:solidFill>
      </xdr:grpSpPr>
      <xdr:grpSp>
        <xdr:nvGrpSpPr>
          <xdr:cNvPr id="4" name="Group 382"/>
          <xdr:cNvGrpSpPr>
            <a:grpSpLocks/>
          </xdr:cNvGrpSpPr>
        </xdr:nvGrpSpPr>
        <xdr:grpSpPr>
          <a:xfrm>
            <a:off x="204" y="1016"/>
            <a:ext cx="431" cy="168"/>
            <a:chOff x="204" y="1016"/>
            <a:chExt cx="431" cy="168"/>
          </a:xfrm>
          <a:solidFill>
            <a:srgbClr val="FFFFFF"/>
          </a:solidFill>
        </xdr:grpSpPr>
        <xdr:grpSp>
          <xdr:nvGrpSpPr>
            <xdr:cNvPr id="5" name="Group 381"/>
            <xdr:cNvGrpSpPr>
              <a:grpSpLocks/>
            </xdr:cNvGrpSpPr>
          </xdr:nvGrpSpPr>
          <xdr:grpSpPr>
            <a:xfrm>
              <a:off x="507" y="1016"/>
              <a:ext cx="128" cy="117"/>
              <a:chOff x="507" y="1016"/>
              <a:chExt cx="128" cy="117"/>
            </a:xfrm>
            <a:solidFill>
              <a:srgbClr val="FFFFFF"/>
            </a:solidFill>
          </xdr:grpSpPr>
          <xdr:sp>
            <xdr:nvSpPr>
              <xdr:cNvPr id="6" name="Oval 183"/>
              <xdr:cNvSpPr>
                <a:spLocks noChangeAspect="1"/>
              </xdr:cNvSpPr>
            </xdr:nvSpPr>
            <xdr:spPr>
              <a:xfrm>
                <a:off x="507" y="1016"/>
                <a:ext cx="128" cy="117"/>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84"/>
              <xdr:cNvSpPr txBox="1">
                <a:spLocks noChangeArrowheads="1"/>
              </xdr:cNvSpPr>
            </xdr:nvSpPr>
            <xdr:spPr>
              <a:xfrm>
                <a:off x="511" y="1056"/>
                <a:ext cx="121" cy="37"/>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FGHRS assessment</a:t>
                </a:r>
              </a:p>
            </xdr:txBody>
          </xdr:sp>
        </xdr:grpSp>
        <xdr:sp>
          <xdr:nvSpPr>
            <xdr:cNvPr id="8" name="AutoShape 185"/>
            <xdr:cNvSpPr>
              <a:spLocks/>
            </xdr:cNvSpPr>
          </xdr:nvSpPr>
          <xdr:spPr>
            <a:xfrm>
              <a:off x="204" y="1027"/>
              <a:ext cx="194" cy="95"/>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Is the dwelling's total floor area 30m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or more?</a:t>
              </a:r>
            </a:p>
          </xdr:txBody>
        </xdr:sp>
        <xdr:grpSp>
          <xdr:nvGrpSpPr>
            <xdr:cNvPr id="9" name="Group 380"/>
            <xdr:cNvGrpSpPr>
              <a:grpSpLocks/>
            </xdr:cNvGrpSpPr>
          </xdr:nvGrpSpPr>
          <xdr:grpSpPr>
            <a:xfrm>
              <a:off x="399" y="1066"/>
              <a:ext cx="109" cy="20"/>
              <a:chOff x="399" y="1066"/>
              <a:chExt cx="109" cy="20"/>
            </a:xfrm>
            <a:solidFill>
              <a:srgbClr val="FFFFFF"/>
            </a:solidFill>
          </xdr:grpSpPr>
          <xdr:sp>
            <xdr:nvSpPr>
              <xdr:cNvPr id="10" name="Line 187"/>
              <xdr:cNvSpPr>
                <a:spLocks/>
              </xdr:cNvSpPr>
            </xdr:nvSpPr>
            <xdr:spPr>
              <a:xfrm>
                <a:off x="399" y="1074"/>
                <a:ext cx="10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Text Box 188"/>
              <xdr:cNvSpPr txBox="1">
                <a:spLocks noChangeArrowheads="1"/>
              </xdr:cNvSpPr>
            </xdr:nvSpPr>
            <xdr:spPr>
              <a:xfrm>
                <a:off x="429" y="1066"/>
                <a:ext cx="22" cy="2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grpSp>
          <xdr:nvGrpSpPr>
            <xdr:cNvPr id="12" name="Group 379"/>
            <xdr:cNvGrpSpPr>
              <a:grpSpLocks/>
            </xdr:cNvGrpSpPr>
          </xdr:nvGrpSpPr>
          <xdr:grpSpPr>
            <a:xfrm>
              <a:off x="289" y="1123"/>
              <a:ext cx="30" cy="61"/>
              <a:chOff x="289" y="1123"/>
              <a:chExt cx="30" cy="61"/>
            </a:xfrm>
            <a:solidFill>
              <a:srgbClr val="FFFFFF"/>
            </a:solidFill>
          </xdr:grpSpPr>
          <xdr:sp>
            <xdr:nvSpPr>
              <xdr:cNvPr id="13" name="Line 190"/>
              <xdr:cNvSpPr>
                <a:spLocks/>
              </xdr:cNvSpPr>
            </xdr:nvSpPr>
            <xdr:spPr>
              <a:xfrm>
                <a:off x="301" y="1123"/>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Text Box 191"/>
              <xdr:cNvSpPr txBox="1">
                <a:spLocks noChangeArrowheads="1"/>
              </xdr:cNvSpPr>
            </xdr:nvSpPr>
            <xdr:spPr>
              <a:xfrm>
                <a:off x="289" y="1135"/>
                <a:ext cx="30" cy="1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grpSp>
      <xdr:grpSp>
        <xdr:nvGrpSpPr>
          <xdr:cNvPr id="15" name="Group 345"/>
          <xdr:cNvGrpSpPr>
            <a:grpSpLocks/>
          </xdr:cNvGrpSpPr>
        </xdr:nvGrpSpPr>
        <xdr:grpSpPr>
          <a:xfrm>
            <a:off x="202" y="714"/>
            <a:ext cx="431" cy="313"/>
            <a:chOff x="416" y="614"/>
            <a:chExt cx="502" cy="355"/>
          </a:xfrm>
          <a:solidFill>
            <a:srgbClr val="FFFFFF"/>
          </a:solidFill>
        </xdr:grpSpPr>
        <xdr:grpSp>
          <xdr:nvGrpSpPr>
            <xdr:cNvPr id="16" name="Group 180"/>
            <xdr:cNvGrpSpPr>
              <a:grpSpLocks/>
            </xdr:cNvGrpSpPr>
          </xdr:nvGrpSpPr>
          <xdr:grpSpPr>
            <a:xfrm>
              <a:off x="416" y="788"/>
              <a:ext cx="502" cy="181"/>
              <a:chOff x="347" y="296"/>
              <a:chExt cx="502" cy="181"/>
            </a:xfrm>
            <a:solidFill>
              <a:srgbClr val="FFFFFF"/>
            </a:solidFill>
          </xdr:grpSpPr>
          <xdr:grpSp>
            <xdr:nvGrpSpPr>
              <xdr:cNvPr id="17" name="Group 170"/>
              <xdr:cNvGrpSpPr>
                <a:grpSpLocks/>
              </xdr:cNvGrpSpPr>
            </xdr:nvGrpSpPr>
            <xdr:grpSpPr>
              <a:xfrm>
                <a:off x="700" y="296"/>
                <a:ext cx="149" cy="133"/>
                <a:chOff x="743" y="121"/>
                <a:chExt cx="149" cy="133"/>
              </a:xfrm>
              <a:solidFill>
                <a:srgbClr val="FFFFFF"/>
              </a:solidFill>
            </xdr:grpSpPr>
            <xdr:sp>
              <xdr:nvSpPr>
                <xdr:cNvPr id="18" name="Oval 171"/>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 Box 172"/>
                <xdr:cNvSpPr txBox="1">
                  <a:spLocks noChangeArrowheads="1"/>
                </xdr:cNvSpPr>
              </xdr:nvSpPr>
              <xdr:spPr>
                <a:xfrm>
                  <a:off x="748" y="166"/>
                  <a:ext cx="141" cy="42"/>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FGHRS assessment</a:t>
                  </a:r>
                </a:p>
              </xdr:txBody>
            </xdr:sp>
          </xdr:grpSp>
          <xdr:sp>
            <xdr:nvSpPr>
              <xdr:cNvPr id="20" name="AutoShape 173"/>
              <xdr:cNvSpPr>
                <a:spLocks/>
              </xdr:cNvSpPr>
            </xdr:nvSpPr>
            <xdr:spPr>
              <a:xfrm>
                <a:off x="347" y="308"/>
                <a:ext cx="226" cy="108"/>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Is it a condensing boiler of the type allowed?</a:t>
                </a:r>
              </a:p>
            </xdr:txBody>
          </xdr:sp>
          <xdr:grpSp>
            <xdr:nvGrpSpPr>
              <xdr:cNvPr id="21" name="Group 174"/>
              <xdr:cNvGrpSpPr>
                <a:grpSpLocks/>
              </xdr:cNvGrpSpPr>
            </xdr:nvGrpSpPr>
            <xdr:grpSpPr>
              <a:xfrm>
                <a:off x="574" y="353"/>
                <a:ext cx="127" cy="22"/>
                <a:chOff x="593" y="174"/>
                <a:chExt cx="135" cy="22"/>
              </a:xfrm>
              <a:solidFill>
                <a:srgbClr val="FFFFFF"/>
              </a:solidFill>
            </xdr:grpSpPr>
            <xdr:sp>
              <xdr:nvSpPr>
                <xdr:cNvPr id="22" name="Line 175"/>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Text Box 176"/>
                <xdr:cNvSpPr txBox="1">
                  <a:spLocks noChangeArrowheads="1"/>
                </xdr:cNvSpPr>
              </xdr:nvSpPr>
              <xdr:spPr>
                <a:xfrm>
                  <a:off x="630" y="172"/>
                  <a:ext cx="27" cy="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grpSp>
            <xdr:nvGrpSpPr>
              <xdr:cNvPr id="24" name="Group 177"/>
              <xdr:cNvGrpSpPr>
                <a:grpSpLocks/>
              </xdr:cNvGrpSpPr>
            </xdr:nvGrpSpPr>
            <xdr:grpSpPr>
              <a:xfrm>
                <a:off x="448" y="416"/>
                <a:ext cx="35" cy="61"/>
                <a:chOff x="454" y="252"/>
                <a:chExt cx="35" cy="61"/>
              </a:xfrm>
              <a:solidFill>
                <a:srgbClr val="FFFFFF"/>
              </a:solidFill>
            </xdr:grpSpPr>
            <xdr:sp>
              <xdr:nvSpPr>
                <xdr:cNvPr id="25" name="Line 178"/>
                <xdr:cNvSpPr>
                  <a:spLocks/>
                </xdr:cNvSpPr>
              </xdr:nvSpPr>
              <xdr:spPr>
                <a:xfrm>
                  <a:off x="468" y="252"/>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 name="Text Box 179"/>
                <xdr:cNvSpPr txBox="1">
                  <a:spLocks noChangeArrowheads="1"/>
                </xdr:cNvSpPr>
              </xdr:nvSpPr>
              <xdr:spPr>
                <a:xfrm>
                  <a:off x="454" y="265"/>
                  <a:ext cx="35" cy="17"/>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grpSp>
        <xdr:grpSp>
          <xdr:nvGrpSpPr>
            <xdr:cNvPr id="27" name="Group 327"/>
            <xdr:cNvGrpSpPr>
              <a:grpSpLocks/>
            </xdr:cNvGrpSpPr>
          </xdr:nvGrpSpPr>
          <xdr:grpSpPr>
            <a:xfrm>
              <a:off x="641" y="614"/>
              <a:ext cx="277" cy="133"/>
              <a:chOff x="641" y="614"/>
              <a:chExt cx="277" cy="133"/>
            </a:xfrm>
            <a:solidFill>
              <a:srgbClr val="FFFFFF"/>
            </a:solidFill>
          </xdr:grpSpPr>
          <xdr:grpSp>
            <xdr:nvGrpSpPr>
              <xdr:cNvPr id="28" name="Group 206"/>
              <xdr:cNvGrpSpPr>
                <a:grpSpLocks/>
              </xdr:cNvGrpSpPr>
            </xdr:nvGrpSpPr>
            <xdr:grpSpPr>
              <a:xfrm>
                <a:off x="769" y="614"/>
                <a:ext cx="149" cy="133"/>
                <a:chOff x="743" y="121"/>
                <a:chExt cx="149" cy="133"/>
              </a:xfrm>
              <a:solidFill>
                <a:srgbClr val="FFFFFF"/>
              </a:solidFill>
            </xdr:grpSpPr>
            <xdr:sp>
              <xdr:nvSpPr>
                <xdr:cNvPr id="29" name="Oval 207"/>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Text Box 208"/>
                <xdr:cNvSpPr txBox="1">
                  <a:spLocks noChangeArrowheads="1"/>
                </xdr:cNvSpPr>
              </xdr:nvSpPr>
              <xdr:spPr>
                <a:xfrm>
                  <a:off x="748" y="166"/>
                  <a:ext cx="141" cy="42"/>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FGHRS assessment</a:t>
                  </a:r>
                </a:p>
              </xdr:txBody>
            </xdr:sp>
          </xdr:grpSp>
          <xdr:grpSp>
            <xdr:nvGrpSpPr>
              <xdr:cNvPr id="31" name="Group 210"/>
              <xdr:cNvGrpSpPr>
                <a:grpSpLocks/>
              </xdr:cNvGrpSpPr>
            </xdr:nvGrpSpPr>
            <xdr:grpSpPr>
              <a:xfrm>
                <a:off x="641" y="670"/>
                <a:ext cx="127" cy="22"/>
                <a:chOff x="593" y="174"/>
                <a:chExt cx="135" cy="22"/>
              </a:xfrm>
              <a:solidFill>
                <a:srgbClr val="FFFFFF"/>
              </a:solidFill>
            </xdr:grpSpPr>
            <xdr:sp>
              <xdr:nvSpPr>
                <xdr:cNvPr id="32" name="Line 211"/>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3" name="Text Box 212"/>
                <xdr:cNvSpPr txBox="1">
                  <a:spLocks noChangeArrowheads="1"/>
                </xdr:cNvSpPr>
              </xdr:nvSpPr>
              <xdr:spPr>
                <a:xfrm>
                  <a:off x="630" y="174"/>
                  <a:ext cx="27" cy="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grpSp>
        <xdr:grpSp>
          <xdr:nvGrpSpPr>
            <xdr:cNvPr id="34" name="Group 328"/>
            <xdr:cNvGrpSpPr>
              <a:grpSpLocks/>
            </xdr:cNvGrpSpPr>
          </xdr:nvGrpSpPr>
          <xdr:grpSpPr>
            <a:xfrm>
              <a:off x="416" y="626"/>
              <a:ext cx="226" cy="173"/>
              <a:chOff x="418" y="627"/>
              <a:chExt cx="226" cy="173"/>
            </a:xfrm>
            <a:solidFill>
              <a:srgbClr val="FFFFFF"/>
            </a:solidFill>
          </xdr:grpSpPr>
          <xdr:sp>
            <xdr:nvSpPr>
              <xdr:cNvPr id="35" name="AutoShape 209"/>
              <xdr:cNvSpPr>
                <a:spLocks/>
              </xdr:cNvSpPr>
            </xdr:nvSpPr>
            <xdr:spPr>
              <a:xfrm>
                <a:off x="418" y="627"/>
                <a:ext cx="226" cy="107"/>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Is the boiler fuel mains gas or LPG?</a:t>
                </a:r>
              </a:p>
            </xdr:txBody>
          </xdr:sp>
          <xdr:grpSp>
            <xdr:nvGrpSpPr>
              <xdr:cNvPr id="36" name="Group 213"/>
              <xdr:cNvGrpSpPr>
                <a:grpSpLocks/>
              </xdr:cNvGrpSpPr>
            </xdr:nvGrpSpPr>
            <xdr:grpSpPr>
              <a:xfrm>
                <a:off x="516" y="739"/>
                <a:ext cx="35" cy="61"/>
                <a:chOff x="454" y="252"/>
                <a:chExt cx="35" cy="61"/>
              </a:xfrm>
              <a:solidFill>
                <a:srgbClr val="FFFFFF"/>
              </a:solidFill>
            </xdr:grpSpPr>
            <xdr:sp>
              <xdr:nvSpPr>
                <xdr:cNvPr id="37" name="Line 214"/>
                <xdr:cNvSpPr>
                  <a:spLocks/>
                </xdr:cNvSpPr>
              </xdr:nvSpPr>
              <xdr:spPr>
                <a:xfrm>
                  <a:off x="468" y="252"/>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Text Box 215"/>
                <xdr:cNvSpPr txBox="1">
                  <a:spLocks noChangeArrowheads="1"/>
                </xdr:cNvSpPr>
              </xdr:nvSpPr>
              <xdr:spPr>
                <a:xfrm>
                  <a:off x="454" y="265"/>
                  <a:ext cx="35" cy="17"/>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grpSp>
      </xdr:grpSp>
    </xdr:grpSp>
    <xdr:clientData/>
  </xdr:twoCellAnchor>
  <xdr:twoCellAnchor>
    <xdr:from>
      <xdr:col>1</xdr:col>
      <xdr:colOff>28575</xdr:colOff>
      <xdr:row>83</xdr:row>
      <xdr:rowOff>133350</xdr:rowOff>
    </xdr:from>
    <xdr:to>
      <xdr:col>11</xdr:col>
      <xdr:colOff>495300</xdr:colOff>
      <xdr:row>97</xdr:row>
      <xdr:rowOff>114300</xdr:rowOff>
    </xdr:to>
    <xdr:sp>
      <xdr:nvSpPr>
        <xdr:cNvPr id="39" name="Text Box 235"/>
        <xdr:cNvSpPr txBox="1">
          <a:spLocks noChangeArrowheads="1"/>
        </xdr:cNvSpPr>
      </xdr:nvSpPr>
      <xdr:spPr>
        <a:xfrm>
          <a:off x="209550" y="13839825"/>
          <a:ext cx="5800725" cy="19812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Obtain from the SAP worksheet box (5), box (43)†, box (44b), box (47), box (48), box (49), box (50), box (81), box (82) and box (87e) and enter them in Q05 to Q11 and Q14 to Q16 respectively.  If any of these SAP entries are blank, enter zero in the relevant box(es) Q05 to Q15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a FGHRS with a close-coupled heat store is selected box (37), box (66) and box (82) are required instead of box (43), box (44b) and  box (47) respectively as indicated.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box (41) is greater than zero obtain the volume from the same source as the manufacturers declared storage loss factor and not from box 43.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26</xdr:row>
      <xdr:rowOff>0</xdr:rowOff>
    </xdr:from>
    <xdr:to>
      <xdr:col>11</xdr:col>
      <xdr:colOff>447675</xdr:colOff>
      <xdr:row>33</xdr:row>
      <xdr:rowOff>28575</xdr:rowOff>
    </xdr:to>
    <xdr:sp>
      <xdr:nvSpPr>
        <xdr:cNvPr id="40" name="Text Box 252"/>
        <xdr:cNvSpPr txBox="1">
          <a:spLocks noChangeArrowheads="1"/>
        </xdr:cNvSpPr>
      </xdr:nvSpPr>
      <xdr:spPr>
        <a:xfrm>
          <a:off x="180975" y="5562600"/>
          <a:ext cx="5781675" cy="10287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Obtain details of FGHRS from label affixed to boiler. Some labels use the term PFGHRD, which is a subset of FGHRS and are analysed here too.  Ensure that the FGHRS is listed on worksheet "Select FGHRS", and enter its index number on the worksheet (Box Q01). Then check that the FGHRS is shown correctly on worksheet "Calculate_Savings", together with the boiler fuel and boiler type for which it is intended.</a:t>
          </a:r>
        </a:p>
      </xdr:txBody>
    </xdr:sp>
    <xdr:clientData/>
  </xdr:twoCellAnchor>
  <xdr:twoCellAnchor>
    <xdr:from>
      <xdr:col>9</xdr:col>
      <xdr:colOff>361950</xdr:colOff>
      <xdr:row>8</xdr:row>
      <xdr:rowOff>180975</xdr:rowOff>
    </xdr:from>
    <xdr:to>
      <xdr:col>11</xdr:col>
      <xdr:colOff>523875</xdr:colOff>
      <xdr:row>15</xdr:row>
      <xdr:rowOff>123825</xdr:rowOff>
    </xdr:to>
    <xdr:grpSp>
      <xdr:nvGrpSpPr>
        <xdr:cNvPr id="41" name="Group 254"/>
        <xdr:cNvGrpSpPr>
          <a:grpSpLocks/>
        </xdr:cNvGrpSpPr>
      </xdr:nvGrpSpPr>
      <xdr:grpSpPr>
        <a:xfrm>
          <a:off x="4810125" y="2476500"/>
          <a:ext cx="1228725" cy="1371600"/>
          <a:chOff x="743" y="121"/>
          <a:chExt cx="149" cy="133"/>
        </a:xfrm>
        <a:solidFill>
          <a:srgbClr val="FFFFFF"/>
        </a:solidFill>
      </xdr:grpSpPr>
      <xdr:sp>
        <xdr:nvSpPr>
          <xdr:cNvPr id="42" name="Oval 255"/>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Text Box 256"/>
          <xdr:cNvSpPr txBox="1">
            <a:spLocks noChangeArrowheads="1"/>
          </xdr:cNvSpPr>
        </xdr:nvSpPr>
        <xdr:spPr>
          <a:xfrm>
            <a:off x="748" y="166"/>
            <a:ext cx="141" cy="42"/>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FGHRS assessment</a:t>
            </a:r>
          </a:p>
        </xdr:txBody>
      </xdr:sp>
    </xdr:grpSp>
    <xdr:clientData/>
  </xdr:twoCellAnchor>
  <xdr:twoCellAnchor>
    <xdr:from>
      <xdr:col>4</xdr:col>
      <xdr:colOff>228600</xdr:colOff>
      <xdr:row>9</xdr:row>
      <xdr:rowOff>95250</xdr:rowOff>
    </xdr:from>
    <xdr:to>
      <xdr:col>7</xdr:col>
      <xdr:colOff>314325</xdr:colOff>
      <xdr:row>15</xdr:row>
      <xdr:rowOff>85725</xdr:rowOff>
    </xdr:to>
    <xdr:sp>
      <xdr:nvSpPr>
        <xdr:cNvPr id="44" name="AutoShape 257"/>
        <xdr:cNvSpPr>
          <a:spLocks/>
        </xdr:cNvSpPr>
      </xdr:nvSpPr>
      <xdr:spPr>
        <a:xfrm>
          <a:off x="2009775" y="2619375"/>
          <a:ext cx="1685925" cy="1190625"/>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Is it confirmed that the boiler has a FGHRS fitted?</a:t>
          </a:r>
        </a:p>
      </xdr:txBody>
    </xdr:sp>
    <xdr:clientData/>
  </xdr:twoCellAnchor>
  <xdr:twoCellAnchor>
    <xdr:from>
      <xdr:col>7</xdr:col>
      <xdr:colOff>323850</xdr:colOff>
      <xdr:row>11</xdr:row>
      <xdr:rowOff>142875</xdr:rowOff>
    </xdr:from>
    <xdr:to>
      <xdr:col>9</xdr:col>
      <xdr:colOff>371475</xdr:colOff>
      <xdr:row>12</xdr:row>
      <xdr:rowOff>142875</xdr:rowOff>
    </xdr:to>
    <xdr:grpSp>
      <xdr:nvGrpSpPr>
        <xdr:cNvPr id="45" name="Group 258"/>
        <xdr:cNvGrpSpPr>
          <a:grpSpLocks/>
        </xdr:cNvGrpSpPr>
      </xdr:nvGrpSpPr>
      <xdr:grpSpPr>
        <a:xfrm>
          <a:off x="3705225" y="3124200"/>
          <a:ext cx="1114425" cy="228600"/>
          <a:chOff x="593" y="174"/>
          <a:chExt cx="135" cy="22"/>
        </a:xfrm>
        <a:solidFill>
          <a:srgbClr val="FFFFFF"/>
        </a:solidFill>
      </xdr:grpSpPr>
      <xdr:sp>
        <xdr:nvSpPr>
          <xdr:cNvPr id="46" name="Line 259"/>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 name="Text Box 260"/>
          <xdr:cNvSpPr txBox="1">
            <a:spLocks noChangeArrowheads="1"/>
          </xdr:cNvSpPr>
        </xdr:nvSpPr>
        <xdr:spPr>
          <a:xfrm>
            <a:off x="630" y="174"/>
            <a:ext cx="27" cy="22"/>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clientData/>
  </xdr:twoCellAnchor>
  <xdr:twoCellAnchor>
    <xdr:from>
      <xdr:col>5</xdr:col>
      <xdr:colOff>419100</xdr:colOff>
      <xdr:row>15</xdr:row>
      <xdr:rowOff>114300</xdr:rowOff>
    </xdr:from>
    <xdr:to>
      <xdr:col>6</xdr:col>
      <xdr:colOff>171450</xdr:colOff>
      <xdr:row>20</xdr:row>
      <xdr:rowOff>152400</xdr:rowOff>
    </xdr:to>
    <xdr:grpSp>
      <xdr:nvGrpSpPr>
        <xdr:cNvPr id="48" name="Group 261"/>
        <xdr:cNvGrpSpPr>
          <a:grpSpLocks/>
        </xdr:cNvGrpSpPr>
      </xdr:nvGrpSpPr>
      <xdr:grpSpPr>
        <a:xfrm>
          <a:off x="2733675" y="3838575"/>
          <a:ext cx="285750" cy="876300"/>
          <a:chOff x="454" y="252"/>
          <a:chExt cx="35" cy="61"/>
        </a:xfrm>
        <a:solidFill>
          <a:srgbClr val="FFFFFF"/>
        </a:solidFill>
      </xdr:grpSpPr>
      <xdr:sp>
        <xdr:nvSpPr>
          <xdr:cNvPr id="49" name="Line 262"/>
          <xdr:cNvSpPr>
            <a:spLocks/>
          </xdr:cNvSpPr>
        </xdr:nvSpPr>
        <xdr:spPr>
          <a:xfrm>
            <a:off x="468" y="252"/>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0" name="Text Box 263"/>
          <xdr:cNvSpPr txBox="1">
            <a:spLocks noChangeArrowheads="1"/>
          </xdr:cNvSpPr>
        </xdr:nvSpPr>
        <xdr:spPr>
          <a:xfrm>
            <a:off x="454" y="266"/>
            <a:ext cx="35" cy="17"/>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clientData/>
  </xdr:twoCellAnchor>
  <xdr:twoCellAnchor>
    <xdr:from>
      <xdr:col>6</xdr:col>
      <xdr:colOff>19050</xdr:colOff>
      <xdr:row>2</xdr:row>
      <xdr:rowOff>0</xdr:rowOff>
    </xdr:from>
    <xdr:to>
      <xdr:col>6</xdr:col>
      <xdr:colOff>19050</xdr:colOff>
      <xdr:row>3</xdr:row>
      <xdr:rowOff>28575</xdr:rowOff>
    </xdr:to>
    <xdr:sp>
      <xdr:nvSpPr>
        <xdr:cNvPr id="51" name="Line 272"/>
        <xdr:cNvSpPr>
          <a:spLocks/>
        </xdr:cNvSpPr>
      </xdr:nvSpPr>
      <xdr:spPr>
        <a:xfrm flipH="1">
          <a:off x="2867025" y="9239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xdr:row>
      <xdr:rowOff>114300</xdr:rowOff>
    </xdr:from>
    <xdr:to>
      <xdr:col>12</xdr:col>
      <xdr:colOff>0</xdr:colOff>
      <xdr:row>9</xdr:row>
      <xdr:rowOff>85725</xdr:rowOff>
    </xdr:to>
    <xdr:grpSp>
      <xdr:nvGrpSpPr>
        <xdr:cNvPr id="52" name="Group 376"/>
        <xdr:cNvGrpSpPr>
          <a:grpSpLocks/>
        </xdr:cNvGrpSpPr>
      </xdr:nvGrpSpPr>
      <xdr:grpSpPr>
        <a:xfrm>
          <a:off x="2019300" y="1038225"/>
          <a:ext cx="4029075" cy="1571625"/>
          <a:chOff x="212" y="98"/>
          <a:chExt cx="423" cy="165"/>
        </a:xfrm>
        <a:solidFill>
          <a:srgbClr val="FFFFFF"/>
        </a:solidFill>
      </xdr:grpSpPr>
      <xdr:grpSp>
        <xdr:nvGrpSpPr>
          <xdr:cNvPr id="53" name="Group 313"/>
          <xdr:cNvGrpSpPr>
            <a:grpSpLocks/>
          </xdr:cNvGrpSpPr>
        </xdr:nvGrpSpPr>
        <xdr:grpSpPr>
          <a:xfrm>
            <a:off x="506" y="98"/>
            <a:ext cx="129" cy="137"/>
            <a:chOff x="743" y="121"/>
            <a:chExt cx="149" cy="133"/>
          </a:xfrm>
          <a:solidFill>
            <a:srgbClr val="FFFFFF"/>
          </a:solidFill>
        </xdr:grpSpPr>
        <xdr:sp>
          <xdr:nvSpPr>
            <xdr:cNvPr id="54" name="Oval 314"/>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Text Box 315"/>
            <xdr:cNvSpPr txBox="1">
              <a:spLocks noChangeArrowheads="1"/>
            </xdr:cNvSpPr>
          </xdr:nvSpPr>
          <xdr:spPr>
            <a:xfrm>
              <a:off x="748" y="166"/>
              <a:ext cx="141" cy="4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FGHRS assessment</a:t>
              </a:r>
            </a:p>
          </xdr:txBody>
        </xdr:sp>
      </xdr:grpSp>
      <xdr:sp>
        <xdr:nvSpPr>
          <xdr:cNvPr id="56" name="AutoShape 316"/>
          <xdr:cNvSpPr>
            <a:spLocks/>
          </xdr:cNvSpPr>
        </xdr:nvSpPr>
        <xdr:spPr>
          <a:xfrm>
            <a:off x="212" y="111"/>
            <a:ext cx="177" cy="109"/>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Can boiler brand and model name be identified?</a:t>
            </a:r>
          </a:p>
        </xdr:txBody>
      </xdr:sp>
      <xdr:grpSp>
        <xdr:nvGrpSpPr>
          <xdr:cNvPr id="57" name="Group 317"/>
          <xdr:cNvGrpSpPr>
            <a:grpSpLocks/>
          </xdr:cNvGrpSpPr>
        </xdr:nvGrpSpPr>
        <xdr:grpSpPr>
          <a:xfrm>
            <a:off x="390" y="154"/>
            <a:ext cx="117" cy="22"/>
            <a:chOff x="593" y="174"/>
            <a:chExt cx="135" cy="22"/>
          </a:xfrm>
          <a:solidFill>
            <a:srgbClr val="FFFFFF"/>
          </a:solidFill>
        </xdr:grpSpPr>
        <xdr:sp>
          <xdr:nvSpPr>
            <xdr:cNvPr id="58" name="Line 318"/>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9" name="Text Box 319"/>
            <xdr:cNvSpPr txBox="1">
              <a:spLocks noChangeArrowheads="1"/>
            </xdr:cNvSpPr>
          </xdr:nvSpPr>
          <xdr:spPr>
            <a:xfrm>
              <a:off x="630" y="174"/>
              <a:ext cx="27" cy="22"/>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grpSp>
        <xdr:nvGrpSpPr>
          <xdr:cNvPr id="60" name="Group 320"/>
          <xdr:cNvGrpSpPr>
            <a:grpSpLocks/>
          </xdr:cNvGrpSpPr>
        </xdr:nvGrpSpPr>
        <xdr:grpSpPr>
          <a:xfrm>
            <a:off x="288" y="218"/>
            <a:ext cx="30" cy="45"/>
            <a:chOff x="454" y="252"/>
            <a:chExt cx="35" cy="61"/>
          </a:xfrm>
          <a:solidFill>
            <a:srgbClr val="FFFFFF"/>
          </a:solidFill>
        </xdr:grpSpPr>
        <xdr:sp>
          <xdr:nvSpPr>
            <xdr:cNvPr id="61" name="Line 321"/>
            <xdr:cNvSpPr>
              <a:spLocks/>
            </xdr:cNvSpPr>
          </xdr:nvSpPr>
          <xdr:spPr>
            <a:xfrm>
              <a:off x="468" y="252"/>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2" name="Text Box 322"/>
            <xdr:cNvSpPr txBox="1">
              <a:spLocks noChangeArrowheads="1"/>
            </xdr:cNvSpPr>
          </xdr:nvSpPr>
          <xdr:spPr>
            <a:xfrm>
              <a:off x="454" y="266"/>
              <a:ext cx="35" cy="19"/>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grpSp>
    <xdr:clientData/>
  </xdr:twoCellAnchor>
  <xdr:twoCellAnchor>
    <xdr:from>
      <xdr:col>10</xdr:col>
      <xdr:colOff>0</xdr:colOff>
      <xdr:row>98</xdr:row>
      <xdr:rowOff>0</xdr:rowOff>
    </xdr:from>
    <xdr:to>
      <xdr:col>10</xdr:col>
      <xdr:colOff>0</xdr:colOff>
      <xdr:row>98</xdr:row>
      <xdr:rowOff>0</xdr:rowOff>
    </xdr:to>
    <xdr:sp>
      <xdr:nvSpPr>
        <xdr:cNvPr id="63" name="Line 363"/>
        <xdr:cNvSpPr>
          <a:spLocks/>
        </xdr:cNvSpPr>
      </xdr:nvSpPr>
      <xdr:spPr>
        <a:xfrm flipV="1">
          <a:off x="4981575" y="1584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0</xdr:rowOff>
    </xdr:from>
    <xdr:to>
      <xdr:col>6</xdr:col>
      <xdr:colOff>0</xdr:colOff>
      <xdr:row>98</xdr:row>
      <xdr:rowOff>0</xdr:rowOff>
    </xdr:to>
    <xdr:sp>
      <xdr:nvSpPr>
        <xdr:cNvPr id="64" name="Line 364"/>
        <xdr:cNvSpPr>
          <a:spLocks/>
        </xdr:cNvSpPr>
      </xdr:nvSpPr>
      <xdr:spPr>
        <a:xfrm>
          <a:off x="2847975" y="1584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0</xdr:rowOff>
    </xdr:from>
    <xdr:to>
      <xdr:col>6</xdr:col>
      <xdr:colOff>0</xdr:colOff>
      <xdr:row>98</xdr:row>
      <xdr:rowOff>0</xdr:rowOff>
    </xdr:to>
    <xdr:sp>
      <xdr:nvSpPr>
        <xdr:cNvPr id="65" name="Line 365"/>
        <xdr:cNvSpPr>
          <a:spLocks/>
        </xdr:cNvSpPr>
      </xdr:nvSpPr>
      <xdr:spPr>
        <a:xfrm>
          <a:off x="2847975" y="1584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124</xdr:row>
      <xdr:rowOff>9525</xdr:rowOff>
    </xdr:from>
    <xdr:to>
      <xdr:col>11</xdr:col>
      <xdr:colOff>514350</xdr:colOff>
      <xdr:row>126</xdr:row>
      <xdr:rowOff>123825</xdr:rowOff>
    </xdr:to>
    <xdr:pic>
      <xdr:nvPicPr>
        <xdr:cNvPr id="66" name="Picture 124" descr="BRE_green_logo_JPEG"/>
        <xdr:cNvPicPr preferRelativeResize="1">
          <a:picLocks noChangeAspect="1"/>
        </xdr:cNvPicPr>
      </xdr:nvPicPr>
      <xdr:blipFill>
        <a:blip r:embed="rId1"/>
        <a:stretch>
          <a:fillRect/>
        </a:stretch>
      </xdr:blipFill>
      <xdr:spPr>
        <a:xfrm>
          <a:off x="5305425" y="19573875"/>
          <a:ext cx="723900" cy="400050"/>
        </a:xfrm>
        <a:prstGeom prst="rect">
          <a:avLst/>
        </a:prstGeom>
        <a:noFill/>
        <a:ln w="9525" cmpd="sng">
          <a:noFill/>
        </a:ln>
      </xdr:spPr>
    </xdr:pic>
    <xdr:clientData/>
  </xdr:twoCellAnchor>
  <xdr:twoCellAnchor>
    <xdr:from>
      <xdr:col>6</xdr:col>
      <xdr:colOff>19050</xdr:colOff>
      <xdr:row>81</xdr:row>
      <xdr:rowOff>0</xdr:rowOff>
    </xdr:from>
    <xdr:to>
      <xdr:col>6</xdr:col>
      <xdr:colOff>19050</xdr:colOff>
      <xdr:row>83</xdr:row>
      <xdr:rowOff>133350</xdr:rowOff>
    </xdr:to>
    <xdr:sp>
      <xdr:nvSpPr>
        <xdr:cNvPr id="67" name="Line 231"/>
        <xdr:cNvSpPr>
          <a:spLocks/>
        </xdr:cNvSpPr>
      </xdr:nvSpPr>
      <xdr:spPr>
        <a:xfrm flipH="1">
          <a:off x="2867025" y="1342072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98</xdr:row>
      <xdr:rowOff>0</xdr:rowOff>
    </xdr:from>
    <xdr:to>
      <xdr:col>5</xdr:col>
      <xdr:colOff>533400</xdr:colOff>
      <xdr:row>98</xdr:row>
      <xdr:rowOff>0</xdr:rowOff>
    </xdr:to>
    <xdr:sp>
      <xdr:nvSpPr>
        <xdr:cNvPr id="68" name="Line 282"/>
        <xdr:cNvSpPr>
          <a:spLocks/>
        </xdr:cNvSpPr>
      </xdr:nvSpPr>
      <xdr:spPr>
        <a:xfrm>
          <a:off x="2847975" y="1584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98</xdr:row>
      <xdr:rowOff>0</xdr:rowOff>
    </xdr:from>
    <xdr:to>
      <xdr:col>6</xdr:col>
      <xdr:colOff>180975</xdr:colOff>
      <xdr:row>98</xdr:row>
      <xdr:rowOff>0</xdr:rowOff>
    </xdr:to>
    <xdr:sp>
      <xdr:nvSpPr>
        <xdr:cNvPr id="69" name="Text Box 283"/>
        <xdr:cNvSpPr txBox="1">
          <a:spLocks noChangeArrowheads="1"/>
        </xdr:cNvSpPr>
      </xdr:nvSpPr>
      <xdr:spPr>
        <a:xfrm>
          <a:off x="2771775" y="15849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clientData/>
  </xdr:twoCellAnchor>
  <xdr:twoCellAnchor>
    <xdr:from>
      <xdr:col>25</xdr:col>
      <xdr:colOff>419100</xdr:colOff>
      <xdr:row>197</xdr:row>
      <xdr:rowOff>0</xdr:rowOff>
    </xdr:from>
    <xdr:to>
      <xdr:col>25</xdr:col>
      <xdr:colOff>419100</xdr:colOff>
      <xdr:row>201</xdr:row>
      <xdr:rowOff>123825</xdr:rowOff>
    </xdr:to>
    <xdr:sp>
      <xdr:nvSpPr>
        <xdr:cNvPr id="70" name="Line 287"/>
        <xdr:cNvSpPr>
          <a:spLocks/>
        </xdr:cNvSpPr>
      </xdr:nvSpPr>
      <xdr:spPr>
        <a:xfrm>
          <a:off x="13049250" y="299942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419100</xdr:colOff>
      <xdr:row>198</xdr:row>
      <xdr:rowOff>0</xdr:rowOff>
    </xdr:from>
    <xdr:to>
      <xdr:col>25</xdr:col>
      <xdr:colOff>419100</xdr:colOff>
      <xdr:row>202</xdr:row>
      <xdr:rowOff>123825</xdr:rowOff>
    </xdr:to>
    <xdr:sp>
      <xdr:nvSpPr>
        <xdr:cNvPr id="71" name="Line 288"/>
        <xdr:cNvSpPr>
          <a:spLocks/>
        </xdr:cNvSpPr>
      </xdr:nvSpPr>
      <xdr:spPr>
        <a:xfrm>
          <a:off x="13049250" y="301371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196</xdr:row>
      <xdr:rowOff>0</xdr:rowOff>
    </xdr:from>
    <xdr:to>
      <xdr:col>28</xdr:col>
      <xdr:colOff>419100</xdr:colOff>
      <xdr:row>200</xdr:row>
      <xdr:rowOff>123825</xdr:rowOff>
    </xdr:to>
    <xdr:sp>
      <xdr:nvSpPr>
        <xdr:cNvPr id="72" name="Line 289"/>
        <xdr:cNvSpPr>
          <a:spLocks/>
        </xdr:cNvSpPr>
      </xdr:nvSpPr>
      <xdr:spPr>
        <a:xfrm>
          <a:off x="14649450" y="298513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203</xdr:row>
      <xdr:rowOff>0</xdr:rowOff>
    </xdr:from>
    <xdr:to>
      <xdr:col>28</xdr:col>
      <xdr:colOff>419100</xdr:colOff>
      <xdr:row>207</xdr:row>
      <xdr:rowOff>123825</xdr:rowOff>
    </xdr:to>
    <xdr:sp>
      <xdr:nvSpPr>
        <xdr:cNvPr id="73" name="Line 291"/>
        <xdr:cNvSpPr>
          <a:spLocks/>
        </xdr:cNvSpPr>
      </xdr:nvSpPr>
      <xdr:spPr>
        <a:xfrm>
          <a:off x="14649450" y="3085147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203</xdr:row>
      <xdr:rowOff>0</xdr:rowOff>
    </xdr:from>
    <xdr:to>
      <xdr:col>28</xdr:col>
      <xdr:colOff>419100</xdr:colOff>
      <xdr:row>207</xdr:row>
      <xdr:rowOff>123825</xdr:rowOff>
    </xdr:to>
    <xdr:sp>
      <xdr:nvSpPr>
        <xdr:cNvPr id="74" name="Line 292"/>
        <xdr:cNvSpPr>
          <a:spLocks/>
        </xdr:cNvSpPr>
      </xdr:nvSpPr>
      <xdr:spPr>
        <a:xfrm>
          <a:off x="14649450" y="3085147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116</xdr:row>
      <xdr:rowOff>19050</xdr:rowOff>
    </xdr:from>
    <xdr:to>
      <xdr:col>11</xdr:col>
      <xdr:colOff>504825</xdr:colOff>
      <xdr:row>123</xdr:row>
      <xdr:rowOff>66675</xdr:rowOff>
    </xdr:to>
    <xdr:sp>
      <xdr:nvSpPr>
        <xdr:cNvPr id="75" name="Text Box 307"/>
        <xdr:cNvSpPr txBox="1">
          <a:spLocks noChangeArrowheads="1"/>
        </xdr:cNvSpPr>
      </xdr:nvSpPr>
      <xdr:spPr>
        <a:xfrm>
          <a:off x="200025" y="18440400"/>
          <a:ext cx="5819775" cy="10477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Results from the Appendix Q calulation should now be shown in Boxes Q17 to Q20.  The energy saved shown at box Q17 of Calculate_savings includes both the WWHRS and the FGHRS.  The results can now be copied to boxes (95) and (96) of the SAP assessment worksheet. If not, look for an error message below Box Q20.  </a:t>
          </a:r>
          <a:r>
            <a:rPr lang="en-US" cap="none" sz="1100" b="1" i="0" u="none" baseline="0">
              <a:solidFill>
                <a:srgbClr val="000000"/>
              </a:solidFill>
              <a:latin typeface="Arial"/>
              <a:ea typeface="Arial"/>
              <a:cs typeface="Arial"/>
            </a:rPr>
            <a:t>Do not make any efficiency adjustments from SAP table 4c (section 1) in the SAP Assessment.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t>
          </a:r>
        </a:p>
      </xdr:txBody>
    </xdr:sp>
    <xdr:clientData/>
  </xdr:twoCellAnchor>
  <xdr:twoCellAnchor>
    <xdr:from>
      <xdr:col>5</xdr:col>
      <xdr:colOff>523875</xdr:colOff>
      <xdr:row>40</xdr:row>
      <xdr:rowOff>114300</xdr:rowOff>
    </xdr:from>
    <xdr:to>
      <xdr:col>6</xdr:col>
      <xdr:colOff>0</xdr:colOff>
      <xdr:row>44</xdr:row>
      <xdr:rowOff>38100</xdr:rowOff>
    </xdr:to>
    <xdr:sp>
      <xdr:nvSpPr>
        <xdr:cNvPr id="76" name="Line 323"/>
        <xdr:cNvSpPr>
          <a:spLocks/>
        </xdr:cNvSpPr>
      </xdr:nvSpPr>
      <xdr:spPr>
        <a:xfrm>
          <a:off x="2838450" y="7677150"/>
          <a:ext cx="95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98</xdr:row>
      <xdr:rowOff>0</xdr:rowOff>
    </xdr:from>
    <xdr:to>
      <xdr:col>9</xdr:col>
      <xdr:colOff>219075</xdr:colOff>
      <xdr:row>98</xdr:row>
      <xdr:rowOff>0</xdr:rowOff>
    </xdr:to>
    <xdr:sp>
      <xdr:nvSpPr>
        <xdr:cNvPr id="77" name="Text Box 280"/>
        <xdr:cNvSpPr txBox="1">
          <a:spLocks noChangeArrowheads="1"/>
        </xdr:cNvSpPr>
      </xdr:nvSpPr>
      <xdr:spPr>
        <a:xfrm>
          <a:off x="4343400" y="15849600"/>
          <a:ext cx="323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clientData/>
  </xdr:twoCellAnchor>
  <xdr:twoCellAnchor>
    <xdr:from>
      <xdr:col>24</xdr:col>
      <xdr:colOff>266700</xdr:colOff>
      <xdr:row>151</xdr:row>
      <xdr:rowOff>142875</xdr:rowOff>
    </xdr:from>
    <xdr:to>
      <xdr:col>24</xdr:col>
      <xdr:colOff>266700</xdr:colOff>
      <xdr:row>154</xdr:row>
      <xdr:rowOff>57150</xdr:rowOff>
    </xdr:to>
    <xdr:sp>
      <xdr:nvSpPr>
        <xdr:cNvPr id="78" name="Line 357"/>
        <xdr:cNvSpPr>
          <a:spLocks/>
        </xdr:cNvSpPr>
      </xdr:nvSpPr>
      <xdr:spPr>
        <a:xfrm flipH="1">
          <a:off x="12363450" y="23564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98</xdr:row>
      <xdr:rowOff>0</xdr:rowOff>
    </xdr:from>
    <xdr:to>
      <xdr:col>6</xdr:col>
      <xdr:colOff>9525</xdr:colOff>
      <xdr:row>100</xdr:row>
      <xdr:rowOff>47625</xdr:rowOff>
    </xdr:to>
    <xdr:sp>
      <xdr:nvSpPr>
        <xdr:cNvPr id="79" name="Line 360"/>
        <xdr:cNvSpPr>
          <a:spLocks/>
        </xdr:cNvSpPr>
      </xdr:nvSpPr>
      <xdr:spPr>
        <a:xfrm>
          <a:off x="2857500" y="158496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98</xdr:row>
      <xdr:rowOff>0</xdr:rowOff>
    </xdr:from>
    <xdr:to>
      <xdr:col>5</xdr:col>
      <xdr:colOff>533400</xdr:colOff>
      <xdr:row>98</xdr:row>
      <xdr:rowOff>0</xdr:rowOff>
    </xdr:to>
    <xdr:sp>
      <xdr:nvSpPr>
        <xdr:cNvPr id="80" name="Line 362"/>
        <xdr:cNvSpPr>
          <a:spLocks/>
        </xdr:cNvSpPr>
      </xdr:nvSpPr>
      <xdr:spPr>
        <a:xfrm>
          <a:off x="2847975" y="15849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66675</xdr:rowOff>
    </xdr:from>
    <xdr:to>
      <xdr:col>6</xdr:col>
      <xdr:colOff>0</xdr:colOff>
      <xdr:row>25</xdr:row>
      <xdr:rowOff>133350</xdr:rowOff>
    </xdr:to>
    <xdr:sp>
      <xdr:nvSpPr>
        <xdr:cNvPr id="81" name="Line 373"/>
        <xdr:cNvSpPr>
          <a:spLocks/>
        </xdr:cNvSpPr>
      </xdr:nvSpPr>
      <xdr:spPr>
        <a:xfrm>
          <a:off x="2847975" y="514350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100</xdr:row>
      <xdr:rowOff>38100</xdr:rowOff>
    </xdr:from>
    <xdr:to>
      <xdr:col>11</xdr:col>
      <xdr:colOff>485775</xdr:colOff>
      <xdr:row>105</xdr:row>
      <xdr:rowOff>104775</xdr:rowOff>
    </xdr:to>
    <xdr:sp>
      <xdr:nvSpPr>
        <xdr:cNvPr id="82" name="Text Box 386"/>
        <xdr:cNvSpPr txBox="1">
          <a:spLocks noChangeArrowheads="1"/>
        </xdr:cNvSpPr>
      </xdr:nvSpPr>
      <xdr:spPr>
        <a:xfrm>
          <a:off x="180975" y="16173450"/>
          <a:ext cx="5819775" cy="7810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If the FGHRS contains a close-coupled heat store partly heated by an electric immersion heater powered by a photovoltaic module (12V DC), obtain the total peak power, angle of tilt, orientation and degree of shading factor of the module(s) and enter them into boxes Q21 to Q24 of sheet "Photovoltaic Info". 
</a:t>
          </a:r>
        </a:p>
      </xdr:txBody>
    </xdr:sp>
    <xdr:clientData/>
  </xdr:twoCellAnchor>
  <xdr:twoCellAnchor>
    <xdr:from>
      <xdr:col>6</xdr:col>
      <xdr:colOff>0</xdr:colOff>
      <xdr:row>105</xdr:row>
      <xdr:rowOff>123825</xdr:rowOff>
    </xdr:from>
    <xdr:to>
      <xdr:col>6</xdr:col>
      <xdr:colOff>0</xdr:colOff>
      <xdr:row>108</xdr:row>
      <xdr:rowOff>47625</xdr:rowOff>
    </xdr:to>
    <xdr:sp>
      <xdr:nvSpPr>
        <xdr:cNvPr id="83" name="Line 387"/>
        <xdr:cNvSpPr>
          <a:spLocks/>
        </xdr:cNvSpPr>
      </xdr:nvSpPr>
      <xdr:spPr>
        <a:xfrm flipH="1">
          <a:off x="2847975" y="169735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108</xdr:row>
      <xdr:rowOff>57150</xdr:rowOff>
    </xdr:from>
    <xdr:to>
      <xdr:col>11</xdr:col>
      <xdr:colOff>504825</xdr:colOff>
      <xdr:row>112</xdr:row>
      <xdr:rowOff>104775</xdr:rowOff>
    </xdr:to>
    <xdr:sp>
      <xdr:nvSpPr>
        <xdr:cNvPr id="84" name="Text Box 388"/>
        <xdr:cNvSpPr txBox="1">
          <a:spLocks noChangeArrowheads="1"/>
        </xdr:cNvSpPr>
      </xdr:nvSpPr>
      <xdr:spPr>
        <a:xfrm>
          <a:off x="200025" y="17335500"/>
          <a:ext cx="5819775" cy="6191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If there is also a WWHRS, complete the WWHRS worksheet before this one, and enter the result at WWHRS box Q17 in Q12 of Calculate_savings and WWHRS box Q12 in box Q13 of Calculate_savings. </a:t>
          </a:r>
        </a:p>
      </xdr:txBody>
    </xdr:sp>
    <xdr:clientData/>
  </xdr:twoCellAnchor>
  <xdr:twoCellAnchor>
    <xdr:from>
      <xdr:col>1</xdr:col>
      <xdr:colOff>0</xdr:colOff>
      <xdr:row>21</xdr:row>
      <xdr:rowOff>9525</xdr:rowOff>
    </xdr:from>
    <xdr:to>
      <xdr:col>11</xdr:col>
      <xdr:colOff>447675</xdr:colOff>
      <xdr:row>24</xdr:row>
      <xdr:rowOff>19050</xdr:rowOff>
    </xdr:to>
    <xdr:sp>
      <xdr:nvSpPr>
        <xdr:cNvPr id="85" name="Text Box 389"/>
        <xdr:cNvSpPr txBox="1">
          <a:spLocks noChangeArrowheads="1"/>
        </xdr:cNvSpPr>
      </xdr:nvSpPr>
      <xdr:spPr>
        <a:xfrm>
          <a:off x="180975" y="4743450"/>
          <a:ext cx="5781675" cy="5238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If there is also a WWHRS installed in the dwelling, complete the WWHRS spreadsheet before this spreadsheet.</a:t>
          </a:r>
        </a:p>
      </xdr:txBody>
    </xdr:sp>
    <xdr:clientData/>
  </xdr:twoCellAnchor>
  <xdr:twoCellAnchor>
    <xdr:from>
      <xdr:col>6</xdr:col>
      <xdr:colOff>9525</xdr:colOff>
      <xdr:row>33</xdr:row>
      <xdr:rowOff>28575</xdr:rowOff>
    </xdr:from>
    <xdr:to>
      <xdr:col>6</xdr:col>
      <xdr:colOff>9525</xdr:colOff>
      <xdr:row>34</xdr:row>
      <xdr:rowOff>114300</xdr:rowOff>
    </xdr:to>
    <xdr:sp>
      <xdr:nvSpPr>
        <xdr:cNvPr id="86" name="Line 393"/>
        <xdr:cNvSpPr>
          <a:spLocks/>
        </xdr:cNvSpPr>
      </xdr:nvSpPr>
      <xdr:spPr>
        <a:xfrm>
          <a:off x="2857500" y="65913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112</xdr:row>
      <xdr:rowOff>114300</xdr:rowOff>
    </xdr:from>
    <xdr:to>
      <xdr:col>5</xdr:col>
      <xdr:colOff>523875</xdr:colOff>
      <xdr:row>116</xdr:row>
      <xdr:rowOff>19050</xdr:rowOff>
    </xdr:to>
    <xdr:sp>
      <xdr:nvSpPr>
        <xdr:cNvPr id="87" name="Line 394"/>
        <xdr:cNvSpPr>
          <a:spLocks/>
        </xdr:cNvSpPr>
      </xdr:nvSpPr>
      <xdr:spPr>
        <a:xfrm>
          <a:off x="2838450" y="1796415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38100</xdr:rowOff>
    </xdr:from>
    <xdr:to>
      <xdr:col>0</xdr:col>
      <xdr:colOff>0</xdr:colOff>
      <xdr:row>41</xdr:row>
      <xdr:rowOff>85725</xdr:rowOff>
    </xdr:to>
    <xdr:pic>
      <xdr:nvPicPr>
        <xdr:cNvPr id="1" name="Picture 1" descr="BRE_green_logo_JPEG"/>
        <xdr:cNvPicPr preferRelativeResize="1">
          <a:picLocks noChangeAspect="1"/>
        </xdr:cNvPicPr>
      </xdr:nvPicPr>
      <xdr:blipFill>
        <a:blip r:embed="rId1"/>
        <a:stretch>
          <a:fillRect/>
        </a:stretch>
      </xdr:blipFill>
      <xdr:spPr>
        <a:xfrm>
          <a:off x="0" y="6486525"/>
          <a:ext cx="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16</xdr:row>
      <xdr:rowOff>85725</xdr:rowOff>
    </xdr:from>
    <xdr:to>
      <xdr:col>17</xdr:col>
      <xdr:colOff>238125</xdr:colOff>
      <xdr:row>18</xdr:row>
      <xdr:rowOff>257175</xdr:rowOff>
    </xdr:to>
    <xdr:sp>
      <xdr:nvSpPr>
        <xdr:cNvPr id="1" name="AutoShape 27"/>
        <xdr:cNvSpPr>
          <a:spLocks/>
        </xdr:cNvSpPr>
      </xdr:nvSpPr>
      <xdr:spPr>
        <a:xfrm>
          <a:off x="8229600" y="4343400"/>
          <a:ext cx="0" cy="628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49</xdr:row>
      <xdr:rowOff>85725</xdr:rowOff>
    </xdr:from>
    <xdr:to>
      <xdr:col>5</xdr:col>
      <xdr:colOff>0</xdr:colOff>
      <xdr:row>53</xdr:row>
      <xdr:rowOff>66675</xdr:rowOff>
    </xdr:to>
    <xdr:pic>
      <xdr:nvPicPr>
        <xdr:cNvPr id="2" name="Picture 80" descr="BRE_green_logo_JPEG"/>
        <xdr:cNvPicPr preferRelativeResize="1">
          <a:picLocks noChangeAspect="1"/>
        </xdr:cNvPicPr>
      </xdr:nvPicPr>
      <xdr:blipFill>
        <a:blip r:embed="rId1"/>
        <a:stretch>
          <a:fillRect/>
        </a:stretch>
      </xdr:blipFill>
      <xdr:spPr>
        <a:xfrm>
          <a:off x="7267575" y="13401675"/>
          <a:ext cx="7810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N126"/>
  <sheetViews>
    <sheetView showGridLines="0" tabSelected="1" zoomScalePageLayoutView="0" workbookViewId="0" topLeftCell="A1">
      <selection activeCell="B126" sqref="B126"/>
    </sheetView>
  </sheetViews>
  <sheetFormatPr defaultColWidth="9.33203125" defaultRowHeight="11.25"/>
  <cols>
    <col min="1" max="1" width="3.16015625" style="10" customWidth="1"/>
    <col min="2" max="12" width="9.33203125" style="10" customWidth="1"/>
    <col min="13" max="13" width="3.16015625" style="10" customWidth="1"/>
    <col min="14" max="16384" width="9.33203125" style="10" customWidth="1"/>
  </cols>
  <sheetData>
    <row r="1" spans="2:12" ht="18">
      <c r="B1" s="30" t="s">
        <v>23</v>
      </c>
      <c r="C1" s="31"/>
      <c r="D1" s="31"/>
      <c r="E1" s="31"/>
      <c r="F1" s="31"/>
      <c r="G1" s="31"/>
      <c r="H1" s="31"/>
      <c r="I1" s="31"/>
      <c r="J1" s="31"/>
      <c r="K1" s="31"/>
      <c r="L1" s="31"/>
    </row>
    <row r="2" spans="2:12" ht="54.75" customHeight="1">
      <c r="B2" s="169" t="s">
        <v>116</v>
      </c>
      <c r="C2" s="31"/>
      <c r="D2" s="31"/>
      <c r="E2" s="31"/>
      <c r="F2" s="31"/>
      <c r="G2" s="31"/>
      <c r="H2" s="31"/>
      <c r="I2" s="31"/>
      <c r="J2" s="31"/>
      <c r="K2" s="31"/>
      <c r="L2" s="31"/>
    </row>
    <row r="3" ht="18">
      <c r="E3" s="13"/>
    </row>
    <row r="4" ht="18">
      <c r="E4" s="13"/>
    </row>
    <row r="5" ht="18">
      <c r="E5" s="13"/>
    </row>
    <row r="6" ht="18">
      <c r="E6" s="13"/>
    </row>
    <row r="7" ht="18">
      <c r="E7" s="13"/>
    </row>
    <row r="8" ht="18">
      <c r="E8" s="13"/>
    </row>
    <row r="9" ht="18">
      <c r="E9" s="13"/>
    </row>
    <row r="10" ht="18">
      <c r="E10" s="13"/>
    </row>
    <row r="11" ht="18">
      <c r="E11" s="13"/>
    </row>
    <row r="12" ht="18">
      <c r="E12" s="13"/>
    </row>
    <row r="13" ht="18">
      <c r="E13" s="13"/>
    </row>
    <row r="14" ht="11.25"/>
    <row r="15" ht="11.25"/>
    <row r="16" ht="16.5" customHeight="1"/>
    <row r="17" ht="11.25"/>
    <row r="18" ht="11.25"/>
    <row r="19" ht="13.5" customHeight="1"/>
    <row r="20" ht="13.5" customHeight="1"/>
    <row r="21" ht="13.5" customHeight="1"/>
    <row r="22" ht="13.5" customHeight="1"/>
    <row r="23" ht="13.5" customHeight="1"/>
    <row r="24" ht="13.5" customHeight="1"/>
    <row r="25" ht="13.5" customHeight="1"/>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118" spans="9:14" ht="11.25">
      <c r="I118" s="337"/>
      <c r="J118" s="338"/>
      <c r="K118" s="338"/>
      <c r="L118" s="338"/>
      <c r="M118" s="338"/>
      <c r="N118" s="338"/>
    </row>
    <row r="119" spans="9:14" ht="11.25">
      <c r="I119" s="338"/>
      <c r="J119" s="338"/>
      <c r="K119" s="338"/>
      <c r="L119" s="338"/>
      <c r="M119" s="338"/>
      <c r="N119" s="338"/>
    </row>
    <row r="121" ht="11.25">
      <c r="B121" s="15"/>
    </row>
    <row r="122" ht="11.25">
      <c r="B122" s="15"/>
    </row>
    <row r="126" ht="11.25">
      <c r="B126" s="15" t="str">
        <f>version</f>
        <v>Version 10.2 -  25 Nov 2011</v>
      </c>
    </row>
  </sheetData>
  <sheetProtection password="EE41" sheet="1" formatCells="0" formatColumns="0" formatRows="0" insertColumns="0" insertRows="0" insertHyperlinks="0" deleteColumns="0" deleteRows="0" selectLockedCells="1" sort="0" autoFilter="0" pivotTables="0"/>
  <mergeCells count="1">
    <mergeCell ref="I118:N119"/>
  </mergeCells>
  <printOptions horizontalCentered="1"/>
  <pageMargins left="0.35433070866141736" right="0.35433070866141736" top="0.1968503937007874" bottom="0.1968503937007874" header="0.11811023622047245" footer="0.11811023622047245"/>
  <pageSetup fitToHeight="1" fitToWidth="1"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B1:P36"/>
  <sheetViews>
    <sheetView showGridLines="0" zoomScalePageLayoutView="0" workbookViewId="0" topLeftCell="A1">
      <selection activeCell="K4" sqref="K4"/>
    </sheetView>
  </sheetViews>
  <sheetFormatPr defaultColWidth="9.33203125" defaultRowHeight="11.25"/>
  <cols>
    <col min="1" max="1" width="2.83203125" style="8" customWidth="1"/>
    <col min="2" max="2" width="7" style="8" customWidth="1"/>
    <col min="3" max="3" width="24.66015625" style="8" customWidth="1"/>
    <col min="4" max="4" width="14" style="8" customWidth="1"/>
    <col min="5" max="5" width="12.66015625" style="8" customWidth="1"/>
    <col min="6" max="6" width="8" style="8" customWidth="1"/>
    <col min="7" max="7" width="6.5" style="8" customWidth="1"/>
    <col min="8" max="8" width="9.66015625" style="8" bestFit="1" customWidth="1"/>
    <col min="9" max="9" width="14.16015625" style="8" bestFit="1" customWidth="1"/>
    <col min="10" max="10" width="35.5" style="8" bestFit="1" customWidth="1"/>
    <col min="11" max="11" width="38.66015625" style="8" bestFit="1" customWidth="1"/>
    <col min="12" max="12" width="9.33203125" style="8" customWidth="1"/>
    <col min="13" max="13" width="2.83203125" style="8" customWidth="1"/>
    <col min="14" max="16384" width="9.33203125" style="8" customWidth="1"/>
  </cols>
  <sheetData>
    <row r="1" spans="3:12" ht="42.75" customHeight="1">
      <c r="C1" s="32" t="s">
        <v>117</v>
      </c>
      <c r="D1" s="32"/>
      <c r="E1" s="32"/>
      <c r="F1" s="32"/>
      <c r="G1" s="32"/>
      <c r="H1" s="43"/>
      <c r="I1" s="43"/>
      <c r="J1" s="43"/>
      <c r="K1" s="43"/>
      <c r="L1" s="43"/>
    </row>
    <row r="2" ht="12" thickBot="1"/>
    <row r="3" spans="3:12" ht="32.25" customHeight="1" thickBot="1">
      <c r="C3" s="342" t="s">
        <v>55</v>
      </c>
      <c r="D3" s="343"/>
      <c r="E3" s="343"/>
      <c r="F3" s="343"/>
      <c r="G3" s="343"/>
      <c r="H3" s="343"/>
      <c r="I3" s="343"/>
      <c r="J3" s="343"/>
      <c r="K3" s="343"/>
      <c r="L3" s="344"/>
    </row>
    <row r="4" spans="3:12" ht="21" customHeight="1" thickBot="1">
      <c r="C4" s="44"/>
      <c r="D4" s="45"/>
      <c r="E4" s="45"/>
      <c r="F4" s="45"/>
      <c r="G4" s="45"/>
      <c r="H4" s="45"/>
      <c r="I4" s="165"/>
      <c r="J4" s="46" t="s">
        <v>31</v>
      </c>
      <c r="K4" s="38"/>
      <c r="L4" s="33" t="s">
        <v>1</v>
      </c>
    </row>
    <row r="5" ht="12" thickBot="1"/>
    <row r="6" spans="2:15" ht="14.25" customHeight="1" thickBot="1">
      <c r="B6" s="287"/>
      <c r="C6" s="339" t="s">
        <v>118</v>
      </c>
      <c r="D6" s="340"/>
      <c r="E6" s="340"/>
      <c r="F6" s="340"/>
      <c r="G6" s="340"/>
      <c r="H6" s="340"/>
      <c r="I6" s="340"/>
      <c r="J6" s="340"/>
      <c r="K6" s="340"/>
      <c r="L6" s="341"/>
      <c r="M6" s="1"/>
      <c r="N6" s="2"/>
      <c r="O6" s="2"/>
    </row>
    <row r="7" spans="2:15" ht="36" customHeight="1" thickBot="1">
      <c r="B7" s="286" t="s">
        <v>30</v>
      </c>
      <c r="C7" s="47" t="s">
        <v>27</v>
      </c>
      <c r="D7" s="47" t="s">
        <v>28</v>
      </c>
      <c r="E7" s="47" t="s">
        <v>29</v>
      </c>
      <c r="F7" s="47" t="s">
        <v>295</v>
      </c>
      <c r="G7" s="47" t="s">
        <v>306</v>
      </c>
      <c r="H7" s="47" t="s">
        <v>358</v>
      </c>
      <c r="I7" s="47" t="s">
        <v>359</v>
      </c>
      <c r="J7" s="47" t="s">
        <v>360</v>
      </c>
      <c r="K7" s="47" t="s">
        <v>361</v>
      </c>
      <c r="L7" s="48" t="s">
        <v>30</v>
      </c>
      <c r="M7" s="1"/>
      <c r="N7" s="2"/>
      <c r="O7" s="2"/>
    </row>
    <row r="8" spans="2:15" ht="11.25" customHeight="1">
      <c r="B8" s="116">
        <v>100</v>
      </c>
      <c r="C8" s="115" t="s">
        <v>36</v>
      </c>
      <c r="D8" s="115"/>
      <c r="E8" s="115"/>
      <c r="F8" s="115"/>
      <c r="G8" s="115"/>
      <c r="H8" s="115"/>
      <c r="I8" s="137"/>
      <c r="J8" s="137"/>
      <c r="K8" s="137"/>
      <c r="L8" s="116">
        <v>100</v>
      </c>
      <c r="M8" s="1"/>
      <c r="N8" s="2"/>
      <c r="O8" s="2"/>
    </row>
    <row r="9" spans="2:15" ht="11.25" customHeight="1">
      <c r="B9" s="116">
        <v>101</v>
      </c>
      <c r="C9" s="117" t="s">
        <v>24</v>
      </c>
      <c r="D9" s="117" t="s">
        <v>25</v>
      </c>
      <c r="E9" s="117" t="s">
        <v>13</v>
      </c>
      <c r="F9" s="117" t="s">
        <v>296</v>
      </c>
      <c r="G9" s="117" t="s">
        <v>296</v>
      </c>
      <c r="H9" s="117" t="s">
        <v>37</v>
      </c>
      <c r="I9" s="117" t="s">
        <v>102</v>
      </c>
      <c r="J9" s="117" t="s">
        <v>104</v>
      </c>
      <c r="K9" s="117" t="s">
        <v>103</v>
      </c>
      <c r="L9" s="116">
        <v>101</v>
      </c>
      <c r="M9" s="1"/>
      <c r="N9" s="2"/>
      <c r="O9" s="2"/>
    </row>
    <row r="10" spans="2:15" ht="11.25" customHeight="1">
      <c r="B10" s="312">
        <v>102</v>
      </c>
      <c r="C10" s="117" t="s">
        <v>24</v>
      </c>
      <c r="D10" s="117" t="s">
        <v>25</v>
      </c>
      <c r="E10" s="117" t="s">
        <v>39</v>
      </c>
      <c r="F10" s="117" t="s">
        <v>296</v>
      </c>
      <c r="G10" s="117" t="s">
        <v>296</v>
      </c>
      <c r="H10" s="117" t="s">
        <v>37</v>
      </c>
      <c r="I10" s="117" t="s">
        <v>102</v>
      </c>
      <c r="J10" s="117" t="s">
        <v>104</v>
      </c>
      <c r="K10" s="117" t="s">
        <v>103</v>
      </c>
      <c r="L10" s="116">
        <v>102</v>
      </c>
      <c r="M10" s="1"/>
      <c r="N10" s="2"/>
      <c r="O10" s="2"/>
    </row>
    <row r="11" spans="2:15" ht="11.25" customHeight="1">
      <c r="B11" s="116">
        <v>103</v>
      </c>
      <c r="C11" s="117" t="s">
        <v>119</v>
      </c>
      <c r="D11" s="117" t="s">
        <v>120</v>
      </c>
      <c r="E11" s="117" t="s">
        <v>13</v>
      </c>
      <c r="F11" s="117" t="s">
        <v>296</v>
      </c>
      <c r="G11" s="117" t="s">
        <v>296</v>
      </c>
      <c r="H11" s="117" t="s">
        <v>37</v>
      </c>
      <c r="I11" s="117" t="s">
        <v>102</v>
      </c>
      <c r="J11" s="117" t="s">
        <v>104</v>
      </c>
      <c r="K11" s="117" t="s">
        <v>103</v>
      </c>
      <c r="L11" s="116">
        <v>103</v>
      </c>
      <c r="M11" s="1"/>
      <c r="N11" s="2"/>
      <c r="O11" s="2"/>
    </row>
    <row r="12" spans="2:15" ht="11.25" customHeight="1">
      <c r="B12" s="116">
        <v>104</v>
      </c>
      <c r="C12" s="117" t="s">
        <v>119</v>
      </c>
      <c r="D12" s="117" t="s">
        <v>120</v>
      </c>
      <c r="E12" s="117" t="s">
        <v>39</v>
      </c>
      <c r="F12" s="117" t="s">
        <v>296</v>
      </c>
      <c r="G12" s="117" t="s">
        <v>296</v>
      </c>
      <c r="H12" s="117" t="s">
        <v>37</v>
      </c>
      <c r="I12" s="117" t="s">
        <v>102</v>
      </c>
      <c r="J12" s="117" t="s">
        <v>104</v>
      </c>
      <c r="K12" s="117" t="s">
        <v>103</v>
      </c>
      <c r="L12" s="116">
        <v>104</v>
      </c>
      <c r="M12" s="1"/>
      <c r="N12" s="2"/>
      <c r="O12" s="2"/>
    </row>
    <row r="13" spans="2:15" ht="11.25" customHeight="1">
      <c r="B13" s="116">
        <v>105</v>
      </c>
      <c r="C13" s="117" t="s">
        <v>119</v>
      </c>
      <c r="D13" s="117" t="s">
        <v>121</v>
      </c>
      <c r="E13" s="117" t="s">
        <v>13</v>
      </c>
      <c r="F13" s="117" t="s">
        <v>296</v>
      </c>
      <c r="G13" s="117" t="s">
        <v>296</v>
      </c>
      <c r="H13" s="117" t="s">
        <v>37</v>
      </c>
      <c r="I13" s="117" t="s">
        <v>102</v>
      </c>
      <c r="J13" s="117" t="s">
        <v>104</v>
      </c>
      <c r="K13" s="117" t="s">
        <v>103</v>
      </c>
      <c r="L13" s="116">
        <v>105</v>
      </c>
      <c r="M13" s="1"/>
      <c r="N13" s="2"/>
      <c r="O13" s="2"/>
    </row>
    <row r="14" spans="2:15" ht="11.25" customHeight="1">
      <c r="B14" s="116">
        <v>106</v>
      </c>
      <c r="C14" s="117" t="s">
        <v>119</v>
      </c>
      <c r="D14" s="117" t="s">
        <v>121</v>
      </c>
      <c r="E14" s="117" t="s">
        <v>39</v>
      </c>
      <c r="F14" s="117" t="s">
        <v>296</v>
      </c>
      <c r="G14" s="117" t="s">
        <v>296</v>
      </c>
      <c r="H14" s="117" t="s">
        <v>37</v>
      </c>
      <c r="I14" s="117" t="s">
        <v>102</v>
      </c>
      <c r="J14" s="117" t="s">
        <v>104</v>
      </c>
      <c r="K14" s="117" t="s">
        <v>103</v>
      </c>
      <c r="L14" s="116">
        <v>106</v>
      </c>
      <c r="M14" s="1"/>
      <c r="N14" s="2"/>
      <c r="O14" s="2"/>
    </row>
    <row r="15" spans="2:15" ht="11.25" customHeight="1">
      <c r="B15" s="116">
        <v>107</v>
      </c>
      <c r="C15" s="117" t="s">
        <v>246</v>
      </c>
      <c r="D15" s="117" t="s">
        <v>247</v>
      </c>
      <c r="E15" s="117" t="s">
        <v>13</v>
      </c>
      <c r="F15" s="117" t="s">
        <v>297</v>
      </c>
      <c r="G15" s="117" t="s">
        <v>296</v>
      </c>
      <c r="H15" s="49"/>
      <c r="I15" s="49"/>
      <c r="J15" s="117" t="s">
        <v>104</v>
      </c>
      <c r="K15" s="49"/>
      <c r="L15" s="116">
        <v>107</v>
      </c>
      <c r="M15" s="3"/>
      <c r="N15" s="2"/>
      <c r="O15" s="4"/>
    </row>
    <row r="16" spans="2:16" ht="11.25" customHeight="1">
      <c r="B16" s="116">
        <v>108</v>
      </c>
      <c r="C16" s="117" t="s">
        <v>246</v>
      </c>
      <c r="D16" s="117" t="s">
        <v>247</v>
      </c>
      <c r="E16" s="117" t="s">
        <v>39</v>
      </c>
      <c r="F16" s="117" t="s">
        <v>297</v>
      </c>
      <c r="G16" s="117" t="s">
        <v>296</v>
      </c>
      <c r="H16" s="49"/>
      <c r="I16" s="49"/>
      <c r="J16" s="117" t="s">
        <v>104</v>
      </c>
      <c r="K16" s="49"/>
      <c r="L16" s="116">
        <v>108</v>
      </c>
      <c r="M16" s="5"/>
      <c r="N16" s="50"/>
      <c r="O16" s="6"/>
      <c r="P16" s="7"/>
    </row>
    <row r="17" spans="2:16" ht="11.25" customHeight="1">
      <c r="B17" s="116">
        <v>109</v>
      </c>
      <c r="C17" s="117" t="s">
        <v>246</v>
      </c>
      <c r="D17" s="117" t="s">
        <v>248</v>
      </c>
      <c r="E17" s="117" t="s">
        <v>13</v>
      </c>
      <c r="F17" s="117" t="s">
        <v>297</v>
      </c>
      <c r="G17" s="117" t="s">
        <v>296</v>
      </c>
      <c r="H17" s="49"/>
      <c r="I17" s="49"/>
      <c r="J17" s="117" t="s">
        <v>104</v>
      </c>
      <c r="K17" s="49"/>
      <c r="L17" s="116">
        <v>109</v>
      </c>
      <c r="M17" s="5"/>
      <c r="O17" s="6"/>
      <c r="P17" s="7"/>
    </row>
    <row r="18" spans="2:16" ht="11.25" customHeight="1">
      <c r="B18" s="116">
        <v>110</v>
      </c>
      <c r="C18" s="117" t="s">
        <v>246</v>
      </c>
      <c r="D18" s="117" t="s">
        <v>248</v>
      </c>
      <c r="E18" s="117" t="s">
        <v>39</v>
      </c>
      <c r="F18" s="117" t="s">
        <v>297</v>
      </c>
      <c r="G18" s="117" t="s">
        <v>296</v>
      </c>
      <c r="H18" s="49"/>
      <c r="I18" s="49"/>
      <c r="J18" s="117" t="s">
        <v>104</v>
      </c>
      <c r="K18" s="49"/>
      <c r="L18" s="116">
        <v>110</v>
      </c>
      <c r="M18" s="7"/>
      <c r="O18" s="9"/>
      <c r="P18" s="7"/>
    </row>
    <row r="19" spans="2:16" ht="11.25" customHeight="1">
      <c r="B19" s="116">
        <v>111</v>
      </c>
      <c r="C19" s="117" t="s">
        <v>251</v>
      </c>
      <c r="D19" s="117" t="s">
        <v>249</v>
      </c>
      <c r="E19" s="117" t="s">
        <v>13</v>
      </c>
      <c r="F19" s="117" t="s">
        <v>297</v>
      </c>
      <c r="G19" s="117" t="s">
        <v>296</v>
      </c>
      <c r="H19" s="49"/>
      <c r="I19" s="49"/>
      <c r="J19" s="117" t="s">
        <v>104</v>
      </c>
      <c r="K19" s="49"/>
      <c r="L19" s="116">
        <v>111</v>
      </c>
      <c r="M19" s="7"/>
      <c r="O19" s="9"/>
      <c r="P19" s="7"/>
    </row>
    <row r="20" spans="2:16" ht="11.25" customHeight="1">
      <c r="B20" s="116">
        <v>112</v>
      </c>
      <c r="C20" s="117" t="s">
        <v>251</v>
      </c>
      <c r="D20" s="117" t="s">
        <v>249</v>
      </c>
      <c r="E20" s="117" t="s">
        <v>39</v>
      </c>
      <c r="F20" s="117" t="s">
        <v>297</v>
      </c>
      <c r="G20" s="117" t="s">
        <v>296</v>
      </c>
      <c r="H20" s="49"/>
      <c r="I20" s="49"/>
      <c r="J20" s="117" t="s">
        <v>104</v>
      </c>
      <c r="K20" s="49"/>
      <c r="L20" s="116">
        <v>112</v>
      </c>
      <c r="M20" s="7"/>
      <c r="O20" s="9"/>
      <c r="P20" s="7"/>
    </row>
    <row r="21" spans="2:16" ht="11.25" customHeight="1">
      <c r="B21" s="116">
        <v>113</v>
      </c>
      <c r="C21" s="117" t="s">
        <v>251</v>
      </c>
      <c r="D21" s="117" t="s">
        <v>250</v>
      </c>
      <c r="E21" s="117" t="s">
        <v>13</v>
      </c>
      <c r="F21" s="117" t="s">
        <v>297</v>
      </c>
      <c r="G21" s="117" t="s">
        <v>296</v>
      </c>
      <c r="H21" s="49"/>
      <c r="I21" s="49"/>
      <c r="J21" s="117" t="s">
        <v>104</v>
      </c>
      <c r="K21" s="49"/>
      <c r="L21" s="116">
        <v>113</v>
      </c>
      <c r="M21" s="7"/>
      <c r="N21" s="51"/>
      <c r="O21" s="9"/>
      <c r="P21" s="7"/>
    </row>
    <row r="22" spans="2:16" ht="11.25" customHeight="1">
      <c r="B22" s="116">
        <v>114</v>
      </c>
      <c r="C22" s="117" t="s">
        <v>251</v>
      </c>
      <c r="D22" s="117" t="s">
        <v>250</v>
      </c>
      <c r="E22" s="117" t="s">
        <v>39</v>
      </c>
      <c r="F22" s="117" t="s">
        <v>297</v>
      </c>
      <c r="G22" s="117" t="s">
        <v>296</v>
      </c>
      <c r="H22" s="49"/>
      <c r="I22" s="49"/>
      <c r="J22" s="117" t="s">
        <v>104</v>
      </c>
      <c r="K22" s="49"/>
      <c r="L22" s="116">
        <v>114</v>
      </c>
      <c r="M22" s="7"/>
      <c r="N22" s="51"/>
      <c r="O22" s="9"/>
      <c r="P22" s="7"/>
    </row>
    <row r="23" spans="2:16" ht="11.25" customHeight="1">
      <c r="B23" s="116">
        <v>115</v>
      </c>
      <c r="C23" s="117" t="s">
        <v>246</v>
      </c>
      <c r="D23" s="117" t="s">
        <v>331</v>
      </c>
      <c r="E23" s="117" t="s">
        <v>13</v>
      </c>
      <c r="F23" s="117" t="s">
        <v>297</v>
      </c>
      <c r="G23" s="117" t="s">
        <v>297</v>
      </c>
      <c r="H23" s="49"/>
      <c r="I23" s="49"/>
      <c r="J23" s="117" t="s">
        <v>104</v>
      </c>
      <c r="K23" s="49"/>
      <c r="L23" s="116">
        <v>115</v>
      </c>
      <c r="M23" s="7"/>
      <c r="N23" s="2"/>
      <c r="O23" s="9"/>
      <c r="P23" s="7"/>
    </row>
    <row r="24" spans="2:16" ht="11.25" customHeight="1">
      <c r="B24" s="116">
        <v>116</v>
      </c>
      <c r="C24" s="117" t="s">
        <v>246</v>
      </c>
      <c r="D24" s="117" t="s">
        <v>332</v>
      </c>
      <c r="E24" s="117" t="s">
        <v>39</v>
      </c>
      <c r="F24" s="117" t="s">
        <v>297</v>
      </c>
      <c r="G24" s="117" t="s">
        <v>297</v>
      </c>
      <c r="H24" s="49"/>
      <c r="I24" s="49"/>
      <c r="J24" s="117" t="s">
        <v>104</v>
      </c>
      <c r="K24" s="49"/>
      <c r="L24" s="116">
        <v>116</v>
      </c>
      <c r="N24" s="2"/>
      <c r="O24" s="9"/>
      <c r="P24" s="7"/>
    </row>
    <row r="25" spans="2:16" ht="11.25" customHeight="1">
      <c r="B25" s="116">
        <v>117</v>
      </c>
      <c r="C25" s="117" t="s">
        <v>246</v>
      </c>
      <c r="D25" s="117" t="s">
        <v>333</v>
      </c>
      <c r="E25" s="117" t="s">
        <v>13</v>
      </c>
      <c r="F25" s="117" t="s">
        <v>297</v>
      </c>
      <c r="G25" s="117" t="s">
        <v>297</v>
      </c>
      <c r="H25" s="49"/>
      <c r="I25" s="49"/>
      <c r="J25" s="117" t="s">
        <v>104</v>
      </c>
      <c r="K25" s="49"/>
      <c r="L25" s="116">
        <v>117</v>
      </c>
      <c r="O25" s="11"/>
      <c r="P25" s="7"/>
    </row>
    <row r="26" spans="2:16" ht="11.25" customHeight="1">
      <c r="B26" s="116">
        <v>118</v>
      </c>
      <c r="C26" s="117" t="s">
        <v>246</v>
      </c>
      <c r="D26" s="117" t="s">
        <v>333</v>
      </c>
      <c r="E26" s="117" t="s">
        <v>39</v>
      </c>
      <c r="F26" s="117" t="s">
        <v>297</v>
      </c>
      <c r="G26" s="117" t="s">
        <v>297</v>
      </c>
      <c r="H26" s="49"/>
      <c r="I26" s="49"/>
      <c r="J26" s="117" t="s">
        <v>104</v>
      </c>
      <c r="K26" s="49"/>
      <c r="L26" s="116">
        <v>118</v>
      </c>
      <c r="M26" s="7"/>
      <c r="N26" s="2"/>
      <c r="O26" s="12"/>
      <c r="P26" s="7"/>
    </row>
    <row r="27" spans="2:12" ht="11.25" customHeight="1">
      <c r="B27" s="116">
        <v>119</v>
      </c>
      <c r="C27" s="117" t="s">
        <v>251</v>
      </c>
      <c r="D27" s="117" t="s">
        <v>339</v>
      </c>
      <c r="E27" s="117" t="s">
        <v>13</v>
      </c>
      <c r="F27" s="117" t="s">
        <v>297</v>
      </c>
      <c r="G27" s="117" t="s">
        <v>297</v>
      </c>
      <c r="H27" s="49"/>
      <c r="I27" s="49"/>
      <c r="J27" s="117" t="s">
        <v>104</v>
      </c>
      <c r="K27" s="49"/>
      <c r="L27" s="116">
        <v>119</v>
      </c>
    </row>
    <row r="28" spans="2:12" ht="11.25" customHeight="1">
      <c r="B28" s="116">
        <v>120</v>
      </c>
      <c r="C28" s="117" t="s">
        <v>251</v>
      </c>
      <c r="D28" s="117" t="s">
        <v>339</v>
      </c>
      <c r="E28" s="117" t="s">
        <v>39</v>
      </c>
      <c r="F28" s="117" t="s">
        <v>297</v>
      </c>
      <c r="G28" s="117" t="s">
        <v>297</v>
      </c>
      <c r="H28" s="49"/>
      <c r="I28" s="49"/>
      <c r="J28" s="117" t="s">
        <v>104</v>
      </c>
      <c r="K28" s="49"/>
      <c r="L28" s="116">
        <v>120</v>
      </c>
    </row>
    <row r="29" spans="2:12" ht="11.25" customHeight="1">
      <c r="B29" s="116">
        <v>121</v>
      </c>
      <c r="C29" s="117" t="s">
        <v>251</v>
      </c>
      <c r="D29" s="117" t="s">
        <v>340</v>
      </c>
      <c r="E29" s="117" t="s">
        <v>13</v>
      </c>
      <c r="F29" s="117" t="s">
        <v>297</v>
      </c>
      <c r="G29" s="117" t="s">
        <v>297</v>
      </c>
      <c r="H29" s="49"/>
      <c r="I29" s="49"/>
      <c r="J29" s="117" t="s">
        <v>104</v>
      </c>
      <c r="K29" s="49"/>
      <c r="L29" s="116">
        <v>121</v>
      </c>
    </row>
    <row r="30" spans="2:12" ht="11.25" customHeight="1">
      <c r="B30" s="116">
        <v>122</v>
      </c>
      <c r="C30" s="117" t="s">
        <v>251</v>
      </c>
      <c r="D30" s="117" t="s">
        <v>340</v>
      </c>
      <c r="E30" s="117" t="s">
        <v>39</v>
      </c>
      <c r="F30" s="117" t="s">
        <v>297</v>
      </c>
      <c r="G30" s="117" t="s">
        <v>297</v>
      </c>
      <c r="H30" s="49"/>
      <c r="I30" s="49"/>
      <c r="J30" s="333" t="s">
        <v>104</v>
      </c>
      <c r="K30" s="49"/>
      <c r="L30" s="116">
        <v>122</v>
      </c>
    </row>
    <row r="31" spans="2:12" ht="11.25">
      <c r="B31" s="116">
        <v>123</v>
      </c>
      <c r="C31" s="117" t="s">
        <v>349</v>
      </c>
      <c r="D31" s="117" t="s">
        <v>350</v>
      </c>
      <c r="E31" s="117" t="s">
        <v>13</v>
      </c>
      <c r="F31" s="117" t="s">
        <v>296</v>
      </c>
      <c r="G31" s="117" t="s">
        <v>296</v>
      </c>
      <c r="H31" s="49"/>
      <c r="I31" s="49"/>
      <c r="J31" s="117" t="s">
        <v>352</v>
      </c>
      <c r="K31" s="49"/>
      <c r="L31" s="116">
        <v>123</v>
      </c>
    </row>
    <row r="32" spans="2:12" ht="11.25">
      <c r="B32" s="116">
        <v>124</v>
      </c>
      <c r="C32" s="117" t="s">
        <v>366</v>
      </c>
      <c r="D32" s="117" t="s">
        <v>369</v>
      </c>
      <c r="E32" s="117" t="s">
        <v>13</v>
      </c>
      <c r="F32" s="117" t="s">
        <v>296</v>
      </c>
      <c r="G32" s="117" t="s">
        <v>296</v>
      </c>
      <c r="H32" s="49"/>
      <c r="I32" s="49"/>
      <c r="J32" s="117" t="s">
        <v>372</v>
      </c>
      <c r="K32" s="49"/>
      <c r="L32" s="116">
        <v>124</v>
      </c>
    </row>
    <row r="33" spans="2:12" ht="11.25">
      <c r="B33" s="116">
        <v>125</v>
      </c>
      <c r="C33" s="117" t="s">
        <v>366</v>
      </c>
      <c r="D33" s="117" t="s">
        <v>369</v>
      </c>
      <c r="E33" s="117" t="s">
        <v>13</v>
      </c>
      <c r="F33" s="117" t="s">
        <v>296</v>
      </c>
      <c r="G33" s="117" t="s">
        <v>296</v>
      </c>
      <c r="H33" s="49"/>
      <c r="I33" s="49"/>
      <c r="J33" s="117" t="s">
        <v>370</v>
      </c>
      <c r="K33" s="49"/>
      <c r="L33" s="116">
        <v>125</v>
      </c>
    </row>
    <row r="34" spans="2:12" ht="11.25" customHeight="1">
      <c r="B34" s="116">
        <v>126</v>
      </c>
      <c r="C34" s="117" t="s">
        <v>366</v>
      </c>
      <c r="D34" s="117" t="s">
        <v>369</v>
      </c>
      <c r="E34" s="117" t="s">
        <v>13</v>
      </c>
      <c r="F34" s="117" t="s">
        <v>296</v>
      </c>
      <c r="G34" s="117" t="s">
        <v>296</v>
      </c>
      <c r="H34" s="49"/>
      <c r="I34" s="49"/>
      <c r="J34" s="117" t="s">
        <v>371</v>
      </c>
      <c r="K34" s="49"/>
      <c r="L34" s="116">
        <v>126</v>
      </c>
    </row>
    <row r="35" spans="2:12" ht="11.25">
      <c r="B35" s="334">
        <v>127</v>
      </c>
      <c r="C35" s="333" t="s">
        <v>375</v>
      </c>
      <c r="D35" s="333" t="s">
        <v>376</v>
      </c>
      <c r="E35" s="333" t="s">
        <v>13</v>
      </c>
      <c r="F35" s="333" t="s">
        <v>296</v>
      </c>
      <c r="G35" s="333" t="s">
        <v>296</v>
      </c>
      <c r="H35" s="333" t="s">
        <v>37</v>
      </c>
      <c r="I35" s="333" t="s">
        <v>102</v>
      </c>
      <c r="J35" s="333" t="s">
        <v>104</v>
      </c>
      <c r="K35" s="333" t="s">
        <v>103</v>
      </c>
      <c r="L35" s="116">
        <v>127</v>
      </c>
    </row>
    <row r="36" spans="2:12" ht="11.25">
      <c r="B36" s="334">
        <v>128</v>
      </c>
      <c r="C36" s="333" t="s">
        <v>375</v>
      </c>
      <c r="D36" s="333" t="s">
        <v>376</v>
      </c>
      <c r="E36" s="333" t="s">
        <v>39</v>
      </c>
      <c r="F36" s="333" t="s">
        <v>296</v>
      </c>
      <c r="G36" s="333" t="s">
        <v>296</v>
      </c>
      <c r="H36" s="333" t="s">
        <v>37</v>
      </c>
      <c r="I36" s="333" t="s">
        <v>102</v>
      </c>
      <c r="J36" s="333" t="s">
        <v>104</v>
      </c>
      <c r="K36" s="333" t="s">
        <v>103</v>
      </c>
      <c r="L36" s="116">
        <v>128</v>
      </c>
    </row>
  </sheetData>
  <sheetProtection password="EE41" sheet="1" selectLockedCells="1"/>
  <mergeCells count="2">
    <mergeCell ref="C6:L6"/>
    <mergeCell ref="C3:L3"/>
  </mergeCells>
  <conditionalFormatting sqref="B8:L33">
    <cfRule type="expression" priority="8" dxfId="1" stopIfTrue="1">
      <formula>($K$4=$L8)</formula>
    </cfRule>
  </conditionalFormatting>
  <conditionalFormatting sqref="B34:L34">
    <cfRule type="expression" priority="7" dxfId="1" stopIfTrue="1">
      <formula>($K$4=$L34)</formula>
    </cfRule>
  </conditionalFormatting>
  <conditionalFormatting sqref="B35:L36">
    <cfRule type="expression" priority="1" dxfId="1" stopIfTrue="1">
      <formula>($K$4=$L35)</formula>
    </cfRule>
  </conditionalFormatting>
  <dataValidations count="1">
    <dataValidation type="list" allowBlank="1" showInputMessage="1" showErrorMessage="1" sqref="K4">
      <formula1>$L$8:$L$36</formula1>
    </dataValidation>
  </dataValidations>
  <printOptions horizontalCentered="1"/>
  <pageMargins left="0.15748031496062992" right="0.15748031496062992" top="0.984251968503937" bottom="0.984251968503937" header="0.5118110236220472" footer="0.5118110236220472"/>
  <pageSetup fitToHeight="1" fitToWidth="1" horizontalDpi="300" verticalDpi="300" orientation="portrait" paperSize="9" r:id="rId2"/>
  <headerFooter alignWithMargins="0">
    <oddFooter>&amp;L&amp;F  &amp;A&amp;R&amp;D  &amp;T</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T52"/>
  <sheetViews>
    <sheetView showGridLines="0" zoomScalePageLayoutView="0" workbookViewId="0" topLeftCell="A1">
      <selection activeCell="D25" sqref="D25"/>
    </sheetView>
  </sheetViews>
  <sheetFormatPr defaultColWidth="9.33203125" defaultRowHeight="11.25"/>
  <cols>
    <col min="1" max="1" width="3.16015625" style="8" customWidth="1"/>
    <col min="2" max="2" width="69.83203125" style="8" customWidth="1"/>
    <col min="3" max="3" width="16" style="8" customWidth="1"/>
    <col min="4" max="4" width="36.66015625" style="8" customWidth="1"/>
    <col min="5" max="5" width="15.16015625" style="8" customWidth="1"/>
    <col min="6" max="6" width="3.16015625" style="8" customWidth="1"/>
    <col min="7" max="7" width="9" style="8" hidden="1" customWidth="1"/>
    <col min="8" max="8" width="17.33203125" style="8" hidden="1" customWidth="1"/>
    <col min="9" max="9" width="14.5" style="8" hidden="1" customWidth="1"/>
    <col min="10" max="10" width="16.83203125" style="8" hidden="1" customWidth="1"/>
    <col min="11" max="11" width="14.83203125" style="8" hidden="1" customWidth="1"/>
    <col min="12" max="12" width="16.66015625" style="8" hidden="1" customWidth="1"/>
    <col min="13" max="13" width="24.83203125" style="8" hidden="1" customWidth="1"/>
    <col min="14" max="14" width="27.33203125" style="8" hidden="1" customWidth="1"/>
    <col min="15" max="15" width="29.33203125" style="8" hidden="1" customWidth="1"/>
    <col min="16" max="16" width="54.33203125" style="8" hidden="1" customWidth="1"/>
    <col min="17" max="17" width="24.66015625" style="8" hidden="1" customWidth="1"/>
    <col min="18" max="26" width="9.33203125" style="8" hidden="1" customWidth="1"/>
    <col min="27" max="16384" width="9.33203125" style="8" customWidth="1"/>
  </cols>
  <sheetData>
    <row r="1" spans="2:12" ht="42.75" customHeight="1">
      <c r="B1" s="345" t="s">
        <v>115</v>
      </c>
      <c r="C1" s="346"/>
      <c r="D1" s="346"/>
      <c r="E1" s="347"/>
      <c r="F1" s="75"/>
      <c r="H1" s="318" t="s">
        <v>362</v>
      </c>
      <c r="I1" s="76"/>
      <c r="J1" s="76"/>
      <c r="K1" s="76"/>
      <c r="L1" s="125"/>
    </row>
    <row r="2" spans="6:14" ht="12" thickBot="1">
      <c r="F2" s="52"/>
      <c r="H2" s="129" t="s">
        <v>357</v>
      </c>
      <c r="I2" s="130" t="str">
        <f>IF(ISNA(VLOOKUP(D17,H3:I7,2,FALSE)),"N",VLOOKUP(D17,H3:I7,2,FALSE))</f>
        <v>N</v>
      </c>
      <c r="J2" s="122"/>
      <c r="K2" s="122"/>
      <c r="L2" s="126"/>
      <c r="M2" s="314" t="s">
        <v>194</v>
      </c>
      <c r="N2" s="315"/>
    </row>
    <row r="3" spans="2:14" ht="18" customHeight="1" thickBot="1">
      <c r="B3" s="118" t="s">
        <v>0</v>
      </c>
      <c r="C3" s="208"/>
      <c r="D3" s="364"/>
      <c r="E3" s="365"/>
      <c r="F3" s="14"/>
      <c r="H3" s="131">
        <f>""</f>
      </c>
      <c r="I3" s="132" t="s">
        <v>88</v>
      </c>
      <c r="J3" s="123" t="s">
        <v>17</v>
      </c>
      <c r="K3" s="123"/>
      <c r="L3" s="127" t="s">
        <v>13</v>
      </c>
      <c r="M3" s="316" t="s">
        <v>354</v>
      </c>
      <c r="N3" s="314" t="s">
        <v>37</v>
      </c>
    </row>
    <row r="4" spans="2:14" s="50" customFormat="1" ht="13.5" thickBot="1">
      <c r="B4" s="41"/>
      <c r="C4" s="41"/>
      <c r="D4" s="77"/>
      <c r="E4" s="77"/>
      <c r="F4" s="14"/>
      <c r="H4" s="131">
        <f>IF(ISBLANK(INDEX('Select FGHRS'!A$8:L$36,MATCH(Calculate_savings!$D$6,'Select FGHRS'!L$8:L$36,0),8)),"",INDEX('Select FGHRS'!A$8:L$36,MATCH(Calculate_savings!$D$6,'Select FGHRS'!L$8:L$36,0),8))</f>
      </c>
      <c r="I4" s="132" t="s">
        <v>354</v>
      </c>
      <c r="J4" s="124" t="s">
        <v>38</v>
      </c>
      <c r="K4" s="124"/>
      <c r="L4" s="127" t="s">
        <v>39</v>
      </c>
      <c r="M4" s="316" t="s">
        <v>263</v>
      </c>
      <c r="N4" s="314" t="s">
        <v>102</v>
      </c>
    </row>
    <row r="5" spans="2:14" ht="33.75" customHeight="1">
      <c r="B5" s="371" t="s">
        <v>114</v>
      </c>
      <c r="C5" s="372"/>
      <c r="D5" s="375"/>
      <c r="E5" s="376"/>
      <c r="H5" s="131">
        <f>IF(ISBLANK(INDEX('Select FGHRS'!A$8:L$36,MATCH(Calculate_savings!$D$6,'Select FGHRS'!L$8:L$36,0),9)),"",INDEX('Select FGHRS'!A$8:L$36,MATCH(Calculate_savings!$D$6,'Select FGHRS'!L$8:L$36,0),9))</f>
      </c>
      <c r="I5" s="132" t="s">
        <v>263</v>
      </c>
      <c r="J5" s="50"/>
      <c r="K5" s="50"/>
      <c r="L5" s="128" t="s">
        <v>40</v>
      </c>
      <c r="M5" s="316" t="s">
        <v>157</v>
      </c>
      <c r="N5" s="314" t="s">
        <v>104</v>
      </c>
    </row>
    <row r="6" spans="2:14" ht="12.75">
      <c r="B6" s="39" t="s">
        <v>111</v>
      </c>
      <c r="C6" s="209"/>
      <c r="D6" s="156">
        <f>IF(Choice&lt;101,100,Choice)</f>
        <v>100</v>
      </c>
      <c r="E6" s="157" t="s">
        <v>1</v>
      </c>
      <c r="F6" s="14"/>
      <c r="H6" s="131">
        <f>IF(ISBLANK(INDEX('Select FGHRS'!A$8:L$36,MATCH(Calculate_savings!$D$6,'Select FGHRS'!L$8:L$36,0),10)),"",INDEX('Select FGHRS'!A$8:L$36,MATCH(Calculate_savings!$D$6,'Select FGHRS'!L$8:L$36,0),10))</f>
      </c>
      <c r="I6" s="132" t="s">
        <v>157</v>
      </c>
      <c r="M6" s="316" t="s">
        <v>156</v>
      </c>
      <c r="N6" s="314" t="s">
        <v>103</v>
      </c>
    </row>
    <row r="7" spans="2:9" ht="12.75">
      <c r="B7" s="40" t="s">
        <v>94</v>
      </c>
      <c r="C7" s="210"/>
      <c r="D7" s="366" t="str">
        <f ca="1">IF(OFFSET(RecognisedList,Pindex+2,0)=0,"",OFFSET(RecognisedList,Pindex+2,0))</f>
        <v>UNKNOWN</v>
      </c>
      <c r="E7" s="367"/>
      <c r="F7" s="14"/>
      <c r="H7" s="133">
        <f>IF(ISBLANK(INDEX('Select FGHRS'!A$8:L$36,MATCH(Calculate_savings!$D$6,'Select FGHRS'!L$8:L$36,0),11)),"",INDEX('Select FGHRS'!A$8:L$36,MATCH(Calculate_savings!$D$6,'Select FGHRS'!L$8:L$36,0),11))</f>
      </c>
      <c r="I7" s="134" t="s">
        <v>156</v>
      </c>
    </row>
    <row r="8" spans="2:13" ht="12.75">
      <c r="B8" s="40" t="s">
        <v>95</v>
      </c>
      <c r="C8" s="210"/>
      <c r="D8" s="366">
        <f ca="1">IF(OFFSET(RecognisedList,Pindex+2,1)=0,"",OFFSET(RecognisedList,Pindex+2,1))</f>
      </c>
      <c r="E8" s="368"/>
      <c r="F8" s="14"/>
      <c r="H8" s="191" t="s">
        <v>98</v>
      </c>
      <c r="I8" s="192">
        <f>Qprim+Qst</f>
        <v>0</v>
      </c>
      <c r="J8" s="191" t="s">
        <v>184</v>
      </c>
      <c r="K8" s="197">
        <f>IF(CCVol&gt;0,box43or37,200)</f>
        <v>200</v>
      </c>
      <c r="L8" s="197" t="s">
        <v>183</v>
      </c>
      <c r="M8" s="192">
        <f>IF(CCVol&gt;0,CCVol,box43or37)</f>
        <v>0</v>
      </c>
    </row>
    <row r="9" spans="2:13" ht="12.75">
      <c r="B9" s="119" t="s">
        <v>101</v>
      </c>
      <c r="C9" s="211"/>
      <c r="D9" s="366">
        <f ca="1">IF(OFFSET(RecognisedList,Pindex+2,2)=0,"",OFFSET(RecognisedList,Pindex+2,2))</f>
      </c>
      <c r="E9" s="368"/>
      <c r="F9" s="14"/>
      <c r="H9" s="193" t="s">
        <v>19</v>
      </c>
      <c r="I9" s="194">
        <f>(1-Fr)*Qusp</f>
        <v>0</v>
      </c>
      <c r="J9" s="193" t="s">
        <v>186</v>
      </c>
      <c r="K9" s="198">
        <f>IF(CCVol&gt;0,box44bor66,2000)</f>
        <v>2000</v>
      </c>
      <c r="L9" s="198" t="s">
        <v>187</v>
      </c>
      <c r="M9" s="194">
        <f>IF(CCVol&gt;0,ccTfactor,box44bor66)</f>
        <v>0</v>
      </c>
    </row>
    <row r="10" spans="2:13" ht="33.75" customHeight="1" thickBot="1">
      <c r="B10" s="313" t="s">
        <v>355</v>
      </c>
      <c r="C10" s="212"/>
      <c r="D10" s="400" t="str">
        <f ca="1">OFFSET(RecognisedList,Pindex+2,5)&amp;"   "&amp;OFFSET(RecognisedList,Pindex+2,6)&amp;"    "&amp;OFFSET(RecognisedList,Pindex+2,7)&amp;"   "&amp;OFFSET(RecognisedList,Pindex+2,8)</f>
        <v>          </v>
      </c>
      <c r="E10" s="401"/>
      <c r="F10" s="14"/>
      <c r="H10" s="193" t="s">
        <v>88</v>
      </c>
      <c r="I10" s="194">
        <f>IF(TFA&gt;420,8,0.035*TFA-0.000038*TFA^2)</f>
        <v>0</v>
      </c>
      <c r="J10" s="195" t="s">
        <v>185</v>
      </c>
      <c r="K10" s="199">
        <f>IF(CCVol&gt;0,box47or82,100)</f>
        <v>100</v>
      </c>
      <c r="L10" s="199" t="s">
        <v>240</v>
      </c>
      <c r="M10" s="200">
        <f>IF(CCVol&gt;0,ccqst,box47or82)</f>
        <v>0</v>
      </c>
    </row>
    <row r="11" spans="8:9" ht="11.25">
      <c r="H11" s="195" t="s">
        <v>87</v>
      </c>
      <c r="I11" s="196">
        <f>MAX((61*N+92)*8.76-Qsolar-(Qwastewater*hweff*0.01)-PVsolar,1)</f>
        <v>805.92</v>
      </c>
    </row>
    <row r="12" ht="12" thickBot="1"/>
    <row r="13" spans="2:20" ht="57" customHeight="1" thickBot="1">
      <c r="B13" s="371" t="s">
        <v>96</v>
      </c>
      <c r="C13" s="372"/>
      <c r="D13" s="375"/>
      <c r="E13" s="376"/>
      <c r="H13" s="397" t="s">
        <v>22</v>
      </c>
      <c r="I13" s="398"/>
      <c r="J13" s="398"/>
      <c r="K13" s="398"/>
      <c r="L13" s="399"/>
      <c r="P13" s="135" t="s">
        <v>58</v>
      </c>
      <c r="Q13" s="1"/>
      <c r="R13" s="1"/>
      <c r="S13" s="2"/>
      <c r="T13" s="138" t="s">
        <v>72</v>
      </c>
    </row>
    <row r="14" spans="2:20" ht="16.5">
      <c r="B14" s="354" t="s">
        <v>32</v>
      </c>
      <c r="C14" s="353"/>
      <c r="D14" s="369"/>
      <c r="E14" s="370"/>
      <c r="F14" s="14"/>
      <c r="H14" s="53"/>
      <c r="I14" s="73" t="s">
        <v>19</v>
      </c>
      <c r="J14" s="73" t="s">
        <v>14</v>
      </c>
      <c r="K14" s="73" t="s">
        <v>15</v>
      </c>
      <c r="L14" s="73" t="s">
        <v>57</v>
      </c>
      <c r="M14" s="161" t="s">
        <v>16</v>
      </c>
      <c r="P14" s="135" t="s">
        <v>59</v>
      </c>
      <c r="Q14" s="1" t="s">
        <v>80</v>
      </c>
      <c r="R14" s="1"/>
      <c r="T14" s="138" t="s">
        <v>70</v>
      </c>
    </row>
    <row r="15" spans="2:20" ht="16.5">
      <c r="B15" s="354" t="s">
        <v>33</v>
      </c>
      <c r="C15" s="353"/>
      <c r="D15" s="359"/>
      <c r="E15" s="360"/>
      <c r="F15" s="14"/>
      <c r="H15" s="53" t="s">
        <v>34</v>
      </c>
      <c r="I15" s="54">
        <f ca="1">VLOOKUP(QspL,INDIRECT($K$40),1)</f>
        <v>0</v>
      </c>
      <c r="J15" s="54">
        <f ca="1">VLOOKUP(QspL,INDIRECT($K$40),2)</f>
        <v>0</v>
      </c>
      <c r="K15" s="54">
        <f ca="1">VLOOKUP(QspL,INDIRECT($K$40),3)</f>
        <v>0</v>
      </c>
      <c r="L15" s="54">
        <f ca="1">VLOOKUP(QspL,INDIRECT($K$40),4)</f>
        <v>0</v>
      </c>
      <c r="M15" s="174">
        <f>J15*LN(Qhw)+K15*(Qhw)+L15</f>
        <v>0</v>
      </c>
      <c r="P15" s="135" t="s">
        <v>60</v>
      </c>
      <c r="Q15" s="1" t="s">
        <v>82</v>
      </c>
      <c r="R15" s="1"/>
      <c r="T15" s="138" t="s">
        <v>71</v>
      </c>
    </row>
    <row r="16" spans="2:15" ht="17.25" customHeight="1">
      <c r="B16" s="352" t="s">
        <v>41</v>
      </c>
      <c r="C16" s="353"/>
      <c r="D16" s="42"/>
      <c r="E16" s="183" t="s">
        <v>2</v>
      </c>
      <c r="G16" s="1"/>
      <c r="H16" s="53" t="s">
        <v>35</v>
      </c>
      <c r="I16" s="54">
        <f ca="1">INDEX(INDIRECT($K$40),pos,1)</f>
        <v>2000</v>
      </c>
      <c r="J16" s="54">
        <f ca="1">INDEX(INDIRECT($K$40),pos,2)</f>
        <v>0</v>
      </c>
      <c r="K16" s="54">
        <f ca="1">INDEX(INDIRECT($K$40),pos,3)</f>
        <v>0</v>
      </c>
      <c r="L16" s="54">
        <f ca="1">INDEX(INDIRECT($K$40),pos,4)</f>
        <v>0</v>
      </c>
      <c r="M16" s="174">
        <f>J16*LN(Qhw)+K16*(Qhw)+L16</f>
        <v>0</v>
      </c>
      <c r="O16" s="2"/>
    </row>
    <row r="17" spans="2:20" ht="17.25" thickBot="1">
      <c r="B17" s="357" t="s">
        <v>353</v>
      </c>
      <c r="C17" s="358"/>
      <c r="D17" s="42"/>
      <c r="E17" s="183" t="s">
        <v>3</v>
      </c>
      <c r="G17" s="1"/>
      <c r="H17" s="55" t="s">
        <v>21</v>
      </c>
      <c r="I17" s="56">
        <f>QspL</f>
        <v>0</v>
      </c>
      <c r="J17" s="56"/>
      <c r="K17" s="56"/>
      <c r="L17" s="56"/>
      <c r="M17" s="175">
        <f>(1-K41)*M16+(M15*K41)</f>
        <v>0</v>
      </c>
      <c r="O17" s="2"/>
      <c r="P17" s="139" t="s">
        <v>61</v>
      </c>
      <c r="Q17" s="139" t="s">
        <v>62</v>
      </c>
      <c r="R17" s="394"/>
      <c r="S17" s="50"/>
      <c r="T17" s="392" t="s">
        <v>73</v>
      </c>
    </row>
    <row r="18" spans="2:20" ht="18.75" customHeight="1" thickBot="1">
      <c r="B18" s="355" t="s">
        <v>42</v>
      </c>
      <c r="C18" s="356"/>
      <c r="D18" s="300"/>
      <c r="E18" s="301" t="s">
        <v>4</v>
      </c>
      <c r="G18" s="1"/>
      <c r="L18" s="1"/>
      <c r="M18" s="1"/>
      <c r="O18" s="2"/>
      <c r="P18" s="139" t="s">
        <v>63</v>
      </c>
      <c r="Q18" s="139" t="s">
        <v>64</v>
      </c>
      <c r="R18" s="394"/>
      <c r="S18" s="50"/>
      <c r="T18" s="393"/>
    </row>
    <row r="19" spans="2:20" ht="25.5" customHeight="1">
      <c r="B19" s="395" t="s">
        <v>113</v>
      </c>
      <c r="C19" s="395"/>
      <c r="D19" s="396"/>
      <c r="E19" s="396"/>
      <c r="G19" s="1"/>
      <c r="H19" s="144"/>
      <c r="I19" s="145"/>
      <c r="J19" s="145" t="s">
        <v>85</v>
      </c>
      <c r="K19" s="146" t="s">
        <v>77</v>
      </c>
      <c r="L19" s="1"/>
      <c r="M19" s="140" t="str">
        <f>M5</f>
        <v>C</v>
      </c>
      <c r="N19" s="141">
        <f>savings-IF(CCVol&gt;0,closecouple!C46,0)</f>
        <v>0</v>
      </c>
      <c r="O19" s="2"/>
      <c r="P19" s="139" t="s">
        <v>65</v>
      </c>
      <c r="Q19" s="139" t="s">
        <v>66</v>
      </c>
      <c r="R19" s="394"/>
      <c r="S19" s="50"/>
      <c r="T19" s="393"/>
    </row>
    <row r="20" spans="7:20" ht="16.5" customHeight="1" thickBot="1">
      <c r="G20" s="1"/>
      <c r="H20" s="147" t="s">
        <v>74</v>
      </c>
      <c r="I20" s="121">
        <f>IF(Lkeephot,J20,K20)</f>
        <v>0</v>
      </c>
      <c r="J20" s="121">
        <f ca="1">INDIRECT("FGHRS_tables!"&amp;"e"&amp;(Pindex*10+6))</f>
        <v>0</v>
      </c>
      <c r="K20" s="148">
        <f ca="1">INDIRECT("FGHRS_tables!"&amp;"J"&amp;(Pindex*10+6))</f>
        <v>0</v>
      </c>
      <c r="L20" s="1"/>
      <c r="M20" s="142" t="str">
        <f>M6</f>
        <v>K</v>
      </c>
      <c r="N20" s="152">
        <f>savings+(Qloss+IF(CCVol&gt;0,CCQc,0)+Qc-Qe)*kf*(0.5/0.91)-IF(CCVol&gt;0,closecouple!C46,0)</f>
        <v>0</v>
      </c>
      <c r="O20" s="2"/>
      <c r="P20" s="139" t="s">
        <v>67</v>
      </c>
      <c r="Q20" s="139" t="s">
        <v>68</v>
      </c>
      <c r="R20" s="394"/>
      <c r="S20" s="50"/>
      <c r="T20" s="393"/>
    </row>
    <row r="21" spans="2:16" ht="42.75" customHeight="1" thickBot="1">
      <c r="B21" s="381" t="s">
        <v>348</v>
      </c>
      <c r="C21" s="382"/>
      <c r="D21" s="383"/>
      <c r="E21" s="384"/>
      <c r="G21" s="1"/>
      <c r="H21" s="147" t="s">
        <v>76</v>
      </c>
      <c r="I21" s="121">
        <f>IF(I22&gt;=144,0,0)+IF(AND(I22&lt;144,I22&gt;=75),0.48-I22/300,0)+IF(AND(I22&lt;75,I22&gt;15),1.1925-0.77*I22/60,0)+IF(I22&lt;=15,1,0)</f>
        <v>1</v>
      </c>
      <c r="J21" s="121"/>
      <c r="K21" s="148"/>
      <c r="L21" s="1"/>
      <c r="M21" s="142" t="str">
        <f>M4</f>
        <v>S</v>
      </c>
      <c r="N21" s="152">
        <f>savings+0.5*kf*(+IF(CCVol&gt;0,CCQc,0)+Qloss-(1-I21)*Qhw)/0.91-IF(CCVol&gt;0,closecouple!C46,0)</f>
        <v>0</v>
      </c>
      <c r="O21" s="2"/>
      <c r="P21" s="135" t="s">
        <v>69</v>
      </c>
    </row>
    <row r="22" spans="2:16" ht="15">
      <c r="B22" s="1"/>
      <c r="C22" s="1"/>
      <c r="D22" s="1"/>
      <c r="E22" s="1"/>
      <c r="G22" s="1"/>
      <c r="H22" s="147" t="s">
        <v>78</v>
      </c>
      <c r="I22" s="121">
        <f>J22*vol</f>
        <v>0</v>
      </c>
      <c r="J22" s="121">
        <f>IF(AND(I23,Btype=M5),1.3,1)</f>
        <v>1</v>
      </c>
      <c r="K22" s="148"/>
      <c r="L22" s="1"/>
      <c r="M22" s="143" t="str">
        <f>M3</f>
        <v>R</v>
      </c>
      <c r="N22" s="153">
        <f>savings+0.5*kf*(IF(CCVol&gt;0,CCQc,0)+Qloss-(1-I21)*Qhw)/0.91-IF(CCVol&gt;0,closecouple!C46,0)</f>
        <v>0</v>
      </c>
      <c r="O22" s="2"/>
      <c r="P22" s="135" t="s">
        <v>86</v>
      </c>
    </row>
    <row r="23" spans="7:15" ht="17.25" customHeight="1" thickBot="1">
      <c r="G23" s="1"/>
      <c r="H23" s="149" t="s">
        <v>89</v>
      </c>
      <c r="I23" s="150" t="b">
        <f>IF(AND(Tfactor&gt;=0.82,Tfactor&lt;=0.82+0.0022*115),TRUE,FALSE)</f>
        <v>0</v>
      </c>
      <c r="J23" s="150"/>
      <c r="K23" s="151"/>
      <c r="L23" s="1"/>
      <c r="O23" s="2"/>
    </row>
    <row r="24" spans="2:15" ht="21.75" customHeight="1">
      <c r="B24" s="371" t="s">
        <v>234</v>
      </c>
      <c r="C24" s="372"/>
      <c r="D24" s="373"/>
      <c r="E24" s="374"/>
      <c r="G24" s="1"/>
      <c r="H24" s="171" t="s">
        <v>105</v>
      </c>
      <c r="L24" s="1"/>
      <c r="O24" s="2"/>
    </row>
    <row r="25" spans="1:15" ht="15.75" customHeight="1">
      <c r="A25" s="1"/>
      <c r="B25" s="136" t="s">
        <v>207</v>
      </c>
      <c r="C25" s="216" t="s">
        <v>208</v>
      </c>
      <c r="D25" s="155"/>
      <c r="E25" s="183" t="s">
        <v>5</v>
      </c>
      <c r="F25" s="1"/>
      <c r="G25" s="1"/>
      <c r="H25" s="172" t="s">
        <v>227</v>
      </c>
      <c r="K25" s="317"/>
      <c r="L25" s="2"/>
      <c r="O25" s="2"/>
    </row>
    <row r="26" spans="1:15" ht="15.75" customHeight="1">
      <c r="A26" s="1"/>
      <c r="B26" s="206" t="str">
        <f>IF(CCVol&gt;0,"Heat loss W/K","Volume of hot water store (litres)"&amp;"† *")</f>
        <v>Volume of hot water store (litres)† *</v>
      </c>
      <c r="C26" s="217" t="str">
        <f>IF(CCVol&gt;0,"box (37)","box (43)")</f>
        <v>box (43)</v>
      </c>
      <c r="D26" s="155"/>
      <c r="E26" s="183" t="s">
        <v>6</v>
      </c>
      <c r="F26" s="1"/>
      <c r="G26" s="1"/>
      <c r="H26" s="172">
        <v>0</v>
      </c>
      <c r="K26" s="190"/>
      <c r="L26" s="2"/>
      <c r="O26" s="2"/>
    </row>
    <row r="27" spans="1:15" ht="15.75" customHeight="1">
      <c r="A27" s="1"/>
      <c r="B27" s="207" t="str">
        <f>IF(CCVol&gt;0,"Total gains W","Temperature factor‡")</f>
        <v>Temperature factor‡</v>
      </c>
      <c r="C27" s="217" t="str">
        <f>IF(CCVol&gt;0,"box (66)","box (44b)")</f>
        <v>box (44b)</v>
      </c>
      <c r="D27" s="155"/>
      <c r="E27" s="183" t="s">
        <v>7</v>
      </c>
      <c r="F27" s="1"/>
      <c r="H27" s="172">
        <v>360</v>
      </c>
      <c r="J27" s="1"/>
      <c r="L27" s="2"/>
      <c r="O27" s="2"/>
    </row>
    <row r="28" spans="1:15" ht="35.25" customHeight="1">
      <c r="A28" s="1"/>
      <c r="B28" s="213" t="str">
        <f>IF(CCVol&gt;0,"Efficiency of main heating system % (SEDBUK or from Table 4a or 4b, adjusted where appropriate by the amount shown in the 'efficiency adjustment' column of Table 4c)","Water storage heat loss  (kWh/year) ‡ *")</f>
        <v>Water storage heat loss  (kWh/year) ‡ *</v>
      </c>
      <c r="C28" s="217" t="str">
        <f>IF(CCVol&gt;0,"box (83)","box (47)")</f>
        <v>box (47)</v>
      </c>
      <c r="D28" s="155"/>
      <c r="E28" s="183" t="s">
        <v>8</v>
      </c>
      <c r="F28" s="1"/>
      <c r="G28" s="1"/>
      <c r="H28" s="172">
        <v>610</v>
      </c>
      <c r="L28" s="2"/>
      <c r="O28" s="2"/>
    </row>
    <row r="29" spans="1:15" ht="15.75" customHeight="1" thickBot="1">
      <c r="A29" s="1"/>
      <c r="B29" s="215" t="s">
        <v>226</v>
      </c>
      <c r="C29" s="216" t="s">
        <v>209</v>
      </c>
      <c r="D29" s="155"/>
      <c r="E29" s="183" t="s">
        <v>9</v>
      </c>
      <c r="F29" s="1"/>
      <c r="G29" s="1"/>
      <c r="H29" s="173">
        <v>1220</v>
      </c>
      <c r="J29" s="1"/>
      <c r="L29" s="2"/>
      <c r="O29" s="2"/>
    </row>
    <row r="30" spans="1:15" ht="15.75" customHeight="1" thickBot="1">
      <c r="A30" s="1"/>
      <c r="B30" s="215" t="s">
        <v>213</v>
      </c>
      <c r="C30" s="216" t="s">
        <v>210</v>
      </c>
      <c r="D30" s="155"/>
      <c r="E30" s="183" t="s">
        <v>10</v>
      </c>
      <c r="F30" s="1"/>
      <c r="H30" s="1"/>
      <c r="I30" s="1"/>
      <c r="J30" s="1"/>
      <c r="K30" s="2"/>
      <c r="L30" s="2"/>
      <c r="M30" s="2"/>
      <c r="N30" s="2"/>
      <c r="O30" s="2"/>
    </row>
    <row r="31" spans="2:16" ht="15.75" customHeight="1">
      <c r="B31" s="215" t="s">
        <v>311</v>
      </c>
      <c r="C31" s="216" t="s">
        <v>252</v>
      </c>
      <c r="D31" s="158"/>
      <c r="E31" s="183" t="s">
        <v>75</v>
      </c>
      <c r="H31" s="70"/>
      <c r="I31" s="74" t="s">
        <v>44</v>
      </c>
      <c r="J31" s="70">
        <f>MIN(MAX(0,$D$6-100),40)</f>
        <v>0</v>
      </c>
      <c r="K31" s="71"/>
      <c r="L31" s="71"/>
      <c r="M31" s="78"/>
      <c r="N31" s="78"/>
      <c r="O31" s="79" t="s">
        <v>53</v>
      </c>
      <c r="P31" s="80"/>
    </row>
    <row r="32" spans="2:16" ht="15.75" customHeight="1">
      <c r="B32" s="206" t="s">
        <v>341</v>
      </c>
      <c r="C32" s="216" t="s">
        <v>337</v>
      </c>
      <c r="D32" s="158"/>
      <c r="E32" s="183" t="s">
        <v>83</v>
      </c>
      <c r="H32" s="167"/>
      <c r="I32" s="166"/>
      <c r="J32" s="167"/>
      <c r="K32" s="168"/>
      <c r="L32" s="168"/>
      <c r="M32" s="96"/>
      <c r="N32" s="96"/>
      <c r="O32" s="302"/>
      <c r="P32" s="303"/>
    </row>
    <row r="33" spans="2:16" ht="15.75" customHeight="1">
      <c r="B33" s="215" t="s">
        <v>342</v>
      </c>
      <c r="C33" s="216" t="s">
        <v>335</v>
      </c>
      <c r="D33" s="158"/>
      <c r="E33" s="183" t="s">
        <v>84</v>
      </c>
      <c r="H33" s="147"/>
      <c r="I33" s="166"/>
      <c r="J33" s="167"/>
      <c r="K33" s="168"/>
      <c r="L33" s="168"/>
      <c r="M33" s="96"/>
      <c r="N33" s="96"/>
      <c r="O33" s="83">
        <f>IF(ISNA(VLOOKUP(1,$O$34:$P$47,1,FALSE)),0,VLOOKUP(1,$O$34:$P$47,1,FALSE))</f>
        <v>1</v>
      </c>
      <c r="P33" s="84" t="str">
        <f>IF(ISNA(VLOOKUP(1,$O$34:$P$47,1,FALSE)),"","ERROR: "&amp;VLOOKUP(1,$O$34:$P$47,2,FALSE))</f>
        <v>ERROR: Brand/model selection not valid - check "Select FGHRS" sheet K4</v>
      </c>
    </row>
    <row r="34" spans="2:16" ht="15.75" customHeight="1">
      <c r="B34" s="215" t="s">
        <v>214</v>
      </c>
      <c r="C34" s="216" t="s">
        <v>211</v>
      </c>
      <c r="D34" s="170"/>
      <c r="E34" s="183" t="s">
        <v>90</v>
      </c>
      <c r="H34" s="61"/>
      <c r="I34" s="64" t="s">
        <v>47</v>
      </c>
      <c r="J34" s="67" t="b">
        <f>IF(Pindex&gt;0,TRUE,FALSE)</f>
        <v>0</v>
      </c>
      <c r="K34" s="60"/>
      <c r="L34" s="81" t="s">
        <v>43</v>
      </c>
      <c r="M34" s="82" t="b">
        <f>NOT(OR(ISBLANK($D$16),ISBLANK($D$17),ISBLANK($D$18),ISBLANK($D$25),ISBLANK($M$8),ISBLANK($M$9),ISBLANK($M$10),ISBLANK($D$18),ISBLANK($D$30),ISBLANK($D$31),ISBLANK($D$32),ISBLANK($D$33),ISBLANK($D$34),,ISBLANK($D$35),ISBLANK($D$36)))</f>
        <v>0</v>
      </c>
      <c r="N34" s="82"/>
      <c r="O34" s="88">
        <f>IF(OR(NOT($J$34),LEN($D$7)&lt;1),1,0)</f>
        <v>1</v>
      </c>
      <c r="P34" s="89" t="s">
        <v>330</v>
      </c>
    </row>
    <row r="35" spans="2:16" ht="19.5" customHeight="1">
      <c r="B35" s="215" t="s">
        <v>216</v>
      </c>
      <c r="C35" s="216" t="s">
        <v>212</v>
      </c>
      <c r="D35" s="158"/>
      <c r="E35" s="183" t="s">
        <v>91</v>
      </c>
      <c r="G35" s="3"/>
      <c r="H35" s="62"/>
      <c r="I35" s="65" t="s">
        <v>92</v>
      </c>
      <c r="J35" s="68" t="b">
        <f>IF(OR(TFA&lt;30,NOT(ISNUMBER(TFA))),FALSE,TRUE)</f>
        <v>0</v>
      </c>
      <c r="K35" s="85"/>
      <c r="L35" s="86" t="s">
        <v>45</v>
      </c>
      <c r="M35" s="87" t="b">
        <f>($D$18=$J$3)</f>
        <v>0</v>
      </c>
      <c r="N35" s="87" t="b">
        <f>($D$18=$J$3)</f>
        <v>0</v>
      </c>
      <c r="O35" s="88">
        <f>IF(ISBLANK(D17),1,0)</f>
        <v>1</v>
      </c>
      <c r="P35" s="89" t="s">
        <v>129</v>
      </c>
    </row>
    <row r="36" spans="2:16" ht="13.5" customHeight="1" thickBot="1">
      <c r="B36" s="214" t="s">
        <v>215</v>
      </c>
      <c r="C36" s="218" t="s">
        <v>228</v>
      </c>
      <c r="D36" s="159"/>
      <c r="E36" s="184" t="s">
        <v>99</v>
      </c>
      <c r="H36" s="63"/>
      <c r="I36" s="66" t="s">
        <v>48</v>
      </c>
      <c r="J36" s="69" t="b">
        <f>IF(OR(Qsp&lt;0,NOT(ISNUMBER(Qsp))),FALSE,TRUE)</f>
        <v>1</v>
      </c>
      <c r="K36" s="90"/>
      <c r="L36" s="91" t="s">
        <v>79</v>
      </c>
      <c r="M36" s="92" t="b">
        <f>(Btype=$M$5)</f>
        <v>0</v>
      </c>
      <c r="N36" s="92"/>
      <c r="O36" s="93">
        <f>IF($M$34,0,1)</f>
        <v>1</v>
      </c>
      <c r="P36" s="94" t="s">
        <v>107</v>
      </c>
    </row>
    <row r="37" spans="2:16" ht="14.25" customHeight="1">
      <c r="B37" s="387" t="str">
        <f>IF(CCVol&lt;=0,"† If box (41) is greater than zero obtain the volume from the same source as the manufacturers declared storage loss factor and not from box 43.","")</f>
        <v>† If box (41) is greater than zero obtain the volume from the same source as the manufacturers declared storage loss factor and not from box 43.</v>
      </c>
      <c r="C37" s="387"/>
      <c r="D37" s="388"/>
      <c r="E37" s="388"/>
      <c r="G37" s="7"/>
      <c r="H37" s="95"/>
      <c r="I37" s="2"/>
      <c r="J37" s="2"/>
      <c r="K37" s="2"/>
      <c r="L37" s="72"/>
      <c r="M37" s="96"/>
      <c r="N37" s="96"/>
      <c r="O37" s="93">
        <f>IF($J$35,0,1)</f>
        <v>1</v>
      </c>
      <c r="P37" s="94" t="s">
        <v>93</v>
      </c>
    </row>
    <row r="38" spans="2:16" ht="12.75">
      <c r="B38" s="154" t="s">
        <v>112</v>
      </c>
      <c r="C38" s="154"/>
      <c r="G38" s="7"/>
      <c r="H38" s="97"/>
      <c r="I38" s="98"/>
      <c r="J38" s="99" t="s">
        <v>18</v>
      </c>
      <c r="K38" s="57" t="str">
        <f>"FGHRS_tables!"&amp;"b"&amp;""&amp;(Pindex*10+8)&amp;":f"&amp;(Pindex*10+13)</f>
        <v>FGHRS_tables!b8:f13</v>
      </c>
      <c r="L38" s="98"/>
      <c r="M38" s="100" t="str">
        <f>"FGHRS_tables!"&amp;"b"&amp;""&amp;(Pindex*10+8)&amp;":b"&amp;(Pindex*10+13)</f>
        <v>FGHRS_tables!b8:b13</v>
      </c>
      <c r="N38" s="100" t="str">
        <f>"FGHRS_tables!"&amp;"b"&amp;""&amp;(Pindex*10+8)&amp;":b"&amp;(Pindex*10+13)</f>
        <v>FGHRS_tables!b8:b13</v>
      </c>
      <c r="O38" s="93">
        <f>IF($D$9=$D$16,0,1)</f>
        <v>0</v>
      </c>
      <c r="P38" s="94" t="s">
        <v>97</v>
      </c>
    </row>
    <row r="39" spans="2:16" ht="12.75">
      <c r="B39" s="154" t="str">
        <f>IF(CCVol&lt;=0,"* Q06 and Q08 must be either both zero (instantaneous combi) or both positive (regular or storage combi).","")</f>
        <v>* Q06 and Q08 must be either both zero (instantaneous combi) or both positive (regular or storage combi).</v>
      </c>
      <c r="C39" s="154"/>
      <c r="F39" s="101"/>
      <c r="G39" s="7"/>
      <c r="H39" s="102"/>
      <c r="I39" s="103"/>
      <c r="J39" s="104" t="s">
        <v>56</v>
      </c>
      <c r="K39" s="59" t="str">
        <f>"FGHRS_tables!"&amp;"g"&amp;""&amp;(Pindex*10+8)&amp;":J"&amp;(Pindex*10+13)</f>
        <v>FGHRS_tables!g8:J13</v>
      </c>
      <c r="L39" s="103"/>
      <c r="M39" s="105" t="str">
        <f>"FGHRS_tables!"&amp;"g"&amp;""&amp;(Pindex*10+8)&amp;":g"&amp;(Pindex*10+13)</f>
        <v>FGHRS_tables!g8:g13</v>
      </c>
      <c r="N39" s="105" t="str">
        <f>"FGHRS_tables!"&amp;"g"&amp;""&amp;(Pindex*10+8)&amp;":g"&amp;(Pindex*10+13)</f>
        <v>FGHRS_tables!g8:g13</v>
      </c>
      <c r="O39" s="93">
        <f>IF(OR(M3=Btype,M4=Btype,M5=Btype,M6=Btype),0,1)</f>
        <v>1</v>
      </c>
      <c r="P39" s="94" t="s">
        <v>356</v>
      </c>
    </row>
    <row r="40" spans="2:16" ht="28.5" customHeight="1" thickBot="1">
      <c r="B40" s="154" t="s">
        <v>343</v>
      </c>
      <c r="H40" s="102"/>
      <c r="I40" s="103"/>
      <c r="J40" s="104" t="s">
        <v>52</v>
      </c>
      <c r="K40" s="59" t="str">
        <f>IF(Lkeephot,K38,K39)</f>
        <v>FGHRS_tables!g8:J13</v>
      </c>
      <c r="L40" s="103"/>
      <c r="M40" s="105" t="str">
        <f>IF(Lkeephot,M38,M39)</f>
        <v>FGHRS_tables!g8:g13</v>
      </c>
      <c r="N40" s="105" t="str">
        <f>IF(Lkeephot,N38,N39)</f>
        <v>FGHRS_tables!g8:g13</v>
      </c>
      <c r="O40" s="93">
        <f>IF(OR(AND(Btype=M3,Qprim&gt;0),AND(Btype&lt;&gt;M3,Qprim=0)),0,1)</f>
        <v>0</v>
      </c>
      <c r="P40" s="94" t="s">
        <v>106</v>
      </c>
    </row>
    <row r="41" spans="2:16" ht="31.5" customHeight="1" thickBot="1">
      <c r="B41" s="377" t="s">
        <v>189</v>
      </c>
      <c r="C41" s="378"/>
      <c r="D41" s="379"/>
      <c r="E41" s="380"/>
      <c r="F41" s="106"/>
      <c r="G41" s="7"/>
      <c r="H41" s="102"/>
      <c r="I41" s="103"/>
      <c r="J41" s="104" t="s">
        <v>49</v>
      </c>
      <c r="K41" s="59">
        <f>IF(I16-I15&gt;0,(I16-QspL)/(I16-I15),0)</f>
        <v>1</v>
      </c>
      <c r="L41" s="103"/>
      <c r="M41" s="107"/>
      <c r="N41" s="107"/>
      <c r="O41" s="88">
        <f>IF($M$35,0,1)</f>
        <v>1</v>
      </c>
      <c r="P41" s="58" t="s">
        <v>46</v>
      </c>
    </row>
    <row r="42" spans="2:16" ht="16.5" customHeight="1">
      <c r="B42" s="348" t="s">
        <v>190</v>
      </c>
      <c r="C42" s="349"/>
      <c r="D42" s="308" t="s">
        <v>100</v>
      </c>
      <c r="E42" s="310">
        <f>ROUND(MAX(IF(NOT(AnyError),VLOOKUP(Btype,M19:N22,2,0)+Qwastewater,0),0),0)</f>
        <v>0</v>
      </c>
      <c r="F42" s="106"/>
      <c r="G42" s="7"/>
      <c r="H42" s="102"/>
      <c r="I42" s="103"/>
      <c r="J42" s="104"/>
      <c r="K42" s="103"/>
      <c r="L42" s="103"/>
      <c r="M42" s="107"/>
      <c r="N42" s="107"/>
      <c r="O42" s="88"/>
      <c r="P42" s="58"/>
    </row>
    <row r="43" spans="2:16" ht="12.75">
      <c r="B43" s="304">
        <f>IF(Qwastewater&gt;0,"(including Waste Water Heat Recovery System)","")</f>
      </c>
      <c r="C43" s="307"/>
      <c r="D43" s="309"/>
      <c r="E43" s="306"/>
      <c r="H43" s="102"/>
      <c r="I43" s="103"/>
      <c r="J43" s="104"/>
      <c r="K43" s="103"/>
      <c r="L43" s="103"/>
      <c r="M43" s="107"/>
      <c r="N43" s="107"/>
      <c r="O43" s="88"/>
      <c r="P43" s="58"/>
    </row>
    <row r="44" spans="2:16" ht="16.5" customHeight="1">
      <c r="B44" s="350" t="s">
        <v>191</v>
      </c>
      <c r="C44" s="351"/>
      <c r="D44" s="305" t="s">
        <v>193</v>
      </c>
      <c r="E44" s="311">
        <f>IF(NOT(AnyError),D16,"")</f>
      </c>
      <c r="H44" s="102"/>
      <c r="I44" s="160"/>
      <c r="J44" s="162"/>
      <c r="K44" s="160"/>
      <c r="L44" s="160"/>
      <c r="M44" s="108"/>
      <c r="N44" s="108"/>
      <c r="O44" s="88">
        <f>IF(OR(AND(Qst&gt;0,vol&gt;0),AND(Qst=0,vol=0)),0,1)</f>
        <v>0</v>
      </c>
      <c r="P44" s="58" t="s">
        <v>109</v>
      </c>
    </row>
    <row r="45" spans="2:16" ht="21" customHeight="1">
      <c r="B45" s="352" t="s">
        <v>192</v>
      </c>
      <c r="C45" s="353"/>
      <c r="D45" s="201" t="s">
        <v>253</v>
      </c>
      <c r="E45" s="202">
        <v>0</v>
      </c>
      <c r="H45" s="102"/>
      <c r="I45" s="103"/>
      <c r="J45" s="104" t="s">
        <v>50</v>
      </c>
      <c r="K45" s="59">
        <f>IF(ISNUMBER(IF(closecouple!C6&gt;0,closecouple!C42,Qsp)),MIN(MAX(0,IF(closecouple!C6&gt;0,closecouple!C42,Qsp)),80000),0)</f>
        <v>0</v>
      </c>
      <c r="L45" s="103" t="s">
        <v>20</v>
      </c>
      <c r="M45" s="108"/>
      <c r="N45" s="108"/>
      <c r="O45" s="88">
        <f>IF(OR(AND(Tfactor&gt;=0.6,Tfactor&lt;=0.6+0.0016*100,Btype=M4),AND(Tfactor&gt;=0.82,Tfactor&lt;=0.82+0.0022*100,Btype=M4),Btype=M3,Btype=M6,Btype=M5),0,1)</f>
        <v>1</v>
      </c>
      <c r="P45" s="163" t="s">
        <v>108</v>
      </c>
    </row>
    <row r="46" spans="2:16" ht="24" customHeight="1" thickBot="1">
      <c r="B46" s="385" t="s">
        <v>191</v>
      </c>
      <c r="C46" s="386"/>
      <c r="D46" s="203" t="s">
        <v>254</v>
      </c>
      <c r="E46" s="204">
        <f>IF(NOT(AnyError),D16,"")</f>
      </c>
      <c r="F46" s="2"/>
      <c r="H46" s="176"/>
      <c r="I46" s="177"/>
      <c r="J46" s="178"/>
      <c r="K46" s="179"/>
      <c r="L46" s="177"/>
      <c r="M46" s="180"/>
      <c r="N46" s="180"/>
      <c r="O46" s="181">
        <f>IF(OR(CCVol=0,AND(CCVol&gt;=15,closecouple!C25&gt;=closecouple!C27,closecouple!C25&lt;=closecouple!C28)),0,1)</f>
        <v>0</v>
      </c>
      <c r="P46" s="182" t="s">
        <v>239</v>
      </c>
    </row>
    <row r="47" spans="6:16" ht="43.5" customHeight="1" thickBot="1">
      <c r="F47" s="2"/>
      <c r="H47" s="109"/>
      <c r="I47" s="110"/>
      <c r="J47" s="111" t="s">
        <v>51</v>
      </c>
      <c r="K47" s="112">
        <f ca="1">MIN(MATCH(QspL,INDIRECT(M39),1)+1,6)</f>
        <v>2</v>
      </c>
      <c r="L47" s="110"/>
      <c r="M47" s="113"/>
      <c r="N47" s="113"/>
      <c r="O47" s="164">
        <f>IF(OR(AND(OR(Btype=M4,Btype=M3),vol&gt;15,CCVol=0),AND(OR(Btype=M5,Btype=M6),vol=0,CCVol=0),AND(CCVol&gt;=15,AND(box43or37&gt;0,box47or82&gt;0,box44bor66&gt;0))),0,1)</f>
        <v>1</v>
      </c>
      <c r="P47" s="114" t="str">
        <f>IF(CCVol&lt;15,"Volume (Q06) inconsistent with boiler type; must be 15 litres or more for storage combi and regular system and 0 litres for instantaneous combi","Heat loss(Q06), Total Gains (Q07) and Main heating efficiency(Q08) must not be zero")</f>
        <v>Volume (Q06) inconsistent with boiler type; must be 15 litres or more for storage combi and regular system and 0 litres for instantaneous combi</v>
      </c>
    </row>
    <row r="48" spans="2:5" ht="81" customHeight="1">
      <c r="B48" s="389" t="str">
        <f>$P$33</f>
        <v>ERROR: Brand/model selection not valid - check "Select FGHRS" sheet K4</v>
      </c>
      <c r="C48" s="390"/>
      <c r="D48" s="390"/>
      <c r="E48" s="391"/>
    </row>
    <row r="49" spans="2:5" ht="13.5" thickBot="1">
      <c r="B49" s="361" t="s">
        <v>329</v>
      </c>
      <c r="C49" s="362"/>
      <c r="D49" s="362"/>
      <c r="E49" s="363"/>
    </row>
    <row r="50" ht="12" customHeight="1"/>
    <row r="52" ht="11.25">
      <c r="B52" s="8" t="str">
        <f>version</f>
        <v>Version 10.2 -  25 Nov 2011</v>
      </c>
    </row>
  </sheetData>
  <sheetProtection password="EE41" sheet="1" selectLockedCells="1"/>
  <mergeCells count="29">
    <mergeCell ref="B37:E37"/>
    <mergeCell ref="B48:E48"/>
    <mergeCell ref="T17:T20"/>
    <mergeCell ref="R17:R20"/>
    <mergeCell ref="B19:E19"/>
    <mergeCell ref="B5:E5"/>
    <mergeCell ref="H13:L13"/>
    <mergeCell ref="D9:E9"/>
    <mergeCell ref="D10:E10"/>
    <mergeCell ref="B49:E49"/>
    <mergeCell ref="D3:E3"/>
    <mergeCell ref="D7:E7"/>
    <mergeCell ref="D8:E8"/>
    <mergeCell ref="D14:E14"/>
    <mergeCell ref="B24:E24"/>
    <mergeCell ref="B13:E13"/>
    <mergeCell ref="B41:E41"/>
    <mergeCell ref="B21:E21"/>
    <mergeCell ref="B46:C46"/>
    <mergeCell ref="B1:E1"/>
    <mergeCell ref="B42:C42"/>
    <mergeCell ref="B44:C44"/>
    <mergeCell ref="B45:C45"/>
    <mergeCell ref="B14:C14"/>
    <mergeCell ref="B15:C15"/>
    <mergeCell ref="B16:C16"/>
    <mergeCell ref="B18:C18"/>
    <mergeCell ref="B17:C17"/>
    <mergeCell ref="D15:E15"/>
  </mergeCells>
  <dataValidations count="13">
    <dataValidation type="custom" allowBlank="1" showInputMessage="1" showErrorMessage="1" errorTitle="Q10 Invalid combi loss" error="Entry must be 0 to 600 or 900" sqref="D30">
      <formula1>J29</formula1>
    </dataValidation>
    <dataValidation type="decimal" operator="greaterThanOrEqual" allowBlank="1" showInputMessage="1" showErrorMessage="1" errorTitle="Q14 Invalid" error="Must be zero or higher" sqref="D36">
      <formula1>0</formula1>
    </dataValidation>
    <dataValidation type="decimal" operator="greaterThanOrEqual" allowBlank="1" showInputMessage="1" showErrorMessage="1" errorTitle="Q05 invalid entry" error="Must be 30m2 or more" sqref="D25">
      <formula1>30</formula1>
    </dataValidation>
    <dataValidation type="list" allowBlank="1" showInputMessage="1" showErrorMessage="1" sqref="D18">
      <formula1>$J$2:$J$4</formula1>
    </dataValidation>
    <dataValidation type="list" allowBlank="1" showInputMessage="1" showErrorMessage="1" sqref="D17">
      <formula1>$H$3:$H$7</formula1>
    </dataValidation>
    <dataValidation type="list" allowBlank="1" showInputMessage="1" showErrorMessage="1" sqref="D16">
      <formula1>$L$2:$L$5</formula1>
    </dataValidation>
    <dataValidation type="decimal" allowBlank="1" showInputMessage="1" showErrorMessage="1" errorTitle="Q13 Invalid entry" error="Secondary heating fraction must be between  0 and 0.5" sqref="D35">
      <formula1>0</formula1>
      <formula2>0.5</formula2>
    </dataValidation>
    <dataValidation type="list" allowBlank="1" showInputMessage="1" showErrorMessage="1" errorTitle="Q09 invaid entry" error="Must be 0 for combi boilers or  360, 610 or 1220 for regular boilers" sqref="D29">
      <formula1>$H$25:$H$29</formula1>
    </dataValidation>
    <dataValidation type="decimal" operator="greaterThan" allowBlank="1" showInputMessage="1" showErrorMessage="1" errorTitle="Q12 Invalid entry" error="must be greater than zero" sqref="D34">
      <formula1>0</formula1>
    </dataValidation>
    <dataValidation type="decimal" allowBlank="1" showInputMessage="1" showErrorMessage="1" errorTitle="Q08 error" error="Outside valid range of 85% to 99% if closely-coupled store or 0 to 9999 otherwise" sqref="D28">
      <formula1>IF(CCVol&gt;0,85,0)</formula1>
      <formula2>IF(CCVol&gt;0,99,9999)</formula2>
    </dataValidation>
    <dataValidation type="decimal" operator="greaterThanOrEqual" allowBlank="1" showInputMessage="1" showErrorMessage="1" errorTitle="Box Q06 error" error="Value must be greater than or equal to zero" sqref="D26">
      <formula1>0</formula1>
    </dataValidation>
    <dataValidation type="decimal" allowBlank="1" showInputMessage="1" showErrorMessage="1" errorTitle="box Q07  error" error="Must be between 10 and 999999 for close coupled store or 0, 0.54, 0.6 to 1.04 otherwsie." sqref="D27">
      <formula1>IF(CCVol&gt;0,10,0)</formula1>
      <formula2>IF(CCVol&gt;0,999999,1.04)</formula2>
    </dataValidation>
    <dataValidation type="decimal" operator="greaterThanOrEqual" allowBlank="1" showInputMessage="1" showErrorMessage="1" errorTitle="Q11 Invalid solar contribution " error="Must be zero or higher" sqref="D31:D33">
      <formula1>0</formula1>
    </dataValidation>
  </dataValidations>
  <printOptions horizontalCentered="1"/>
  <pageMargins left="0.35433070866141736" right="0.35433070866141736" top="0.984251968503937" bottom="0.7874015748031497" header="0.5118110236220472" footer="0.5118110236220472"/>
  <pageSetup fitToHeight="1" fitToWidth="1" horizontalDpi="300" verticalDpi="300" orientation="portrait" paperSize="9" scale="76" r:id="rId4"/>
  <headerFooter alignWithMargins="0">
    <oddFooter>&amp;L&amp;F  &amp;A&amp;R&amp;D  &amp;T</oddFooter>
  </headerFooter>
  <ignoredErrors>
    <ignoredError sqref="E7"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2:K50"/>
  <sheetViews>
    <sheetView showGridLines="0" zoomScalePageLayoutView="0" workbookViewId="0" topLeftCell="A1">
      <selection activeCell="C6" sqref="C6"/>
    </sheetView>
  </sheetViews>
  <sheetFormatPr defaultColWidth="9.33203125" defaultRowHeight="11.25"/>
  <cols>
    <col min="1" max="1" width="9.33203125" style="8" customWidth="1"/>
    <col min="2" max="2" width="56.16015625" style="8" customWidth="1"/>
    <col min="3" max="3" width="15.5" style="8" customWidth="1"/>
    <col min="4" max="4" width="29.33203125" style="8" customWidth="1"/>
    <col min="5" max="5" width="9.33203125" style="8" customWidth="1"/>
    <col min="6" max="6" width="12.16015625" style="8" bestFit="1" customWidth="1"/>
    <col min="7" max="7" width="30.66015625" style="8" bestFit="1" customWidth="1"/>
    <col min="8" max="8" width="14.5" style="8" customWidth="1"/>
    <col min="9" max="9" width="16.16015625" style="8" customWidth="1"/>
    <col min="10" max="16384" width="9.33203125" style="8" customWidth="1"/>
  </cols>
  <sheetData>
    <row r="1" ht="11.25"/>
    <row r="2" spans="2:4" ht="51" customHeight="1">
      <c r="B2" s="345" t="s">
        <v>322</v>
      </c>
      <c r="C2" s="407"/>
      <c r="D2" s="408"/>
    </row>
    <row r="3" spans="2:4" ht="44.25" customHeight="1">
      <c r="B3" s="409" t="s">
        <v>334</v>
      </c>
      <c r="C3" s="410"/>
      <c r="D3" s="411"/>
    </row>
    <row r="4" spans="2:4" ht="8.25" customHeight="1" thickBot="1">
      <c r="B4" s="412"/>
      <c r="C4" s="413"/>
      <c r="D4" s="414"/>
    </row>
    <row r="5" spans="2:4" ht="50.25" customHeight="1">
      <c r="B5" s="404" t="s">
        <v>318</v>
      </c>
      <c r="C5" s="405"/>
      <c r="D5" s="406"/>
    </row>
    <row r="6" spans="2:4" ht="16.5" customHeight="1">
      <c r="B6" s="240" t="s">
        <v>317</v>
      </c>
      <c r="C6" s="241"/>
      <c r="D6" s="238" t="s">
        <v>255</v>
      </c>
    </row>
    <row r="7" spans="2:4" ht="16.5" customHeight="1">
      <c r="B7" s="240" t="s">
        <v>326</v>
      </c>
      <c r="C7" s="241"/>
      <c r="D7" s="238" t="s">
        <v>313</v>
      </c>
    </row>
    <row r="8" spans="2:4" ht="16.5" customHeight="1">
      <c r="B8" s="242" t="s">
        <v>327</v>
      </c>
      <c r="C8" s="241"/>
      <c r="D8" s="238" t="s">
        <v>336</v>
      </c>
    </row>
    <row r="9" spans="2:4" ht="16.5" customHeight="1" thickBot="1">
      <c r="B9" s="243" t="s">
        <v>328</v>
      </c>
      <c r="C9" s="244"/>
      <c r="D9" s="239" t="s">
        <v>338</v>
      </c>
    </row>
    <row r="10" ht="11.25"/>
    <row r="11" ht="12" thickBot="1"/>
    <row r="12" spans="2:4" ht="11.25">
      <c r="B12" s="259" t="s">
        <v>293</v>
      </c>
      <c r="C12" s="224"/>
      <c r="D12" s="221"/>
    </row>
    <row r="13" spans="2:4" ht="12.75" customHeight="1">
      <c r="B13" s="296" t="str">
        <f ca="1">OFFSET(FGHRS_tables!R5,0,0)</f>
        <v>Immersion voltage</v>
      </c>
      <c r="C13" s="2">
        <f ca="1">OFFSET(FGHRS_tables!R5,Pindex*10+1,0)</f>
        <v>0</v>
      </c>
      <c r="D13" s="222" t="s">
        <v>305</v>
      </c>
    </row>
    <row r="14" spans="2:4" ht="11.25">
      <c r="B14" s="296" t="str">
        <f ca="1">OFFSET(FGHRS_tables!Q5,0,0)</f>
        <v>Immersion power (W) per element</v>
      </c>
      <c r="C14" s="2">
        <f ca="1">OFFSET(FGHRS_tables!Q5,Pindex*10+1,0)</f>
        <v>0</v>
      </c>
      <c r="D14" s="222" t="s">
        <v>324</v>
      </c>
    </row>
    <row r="15" spans="2:4" ht="11.25">
      <c r="B15" s="296" t="str">
        <f ca="1">OFFSET(FGHRS_tables!P5,0,0)</f>
        <v>Cable length (m per heater)</v>
      </c>
      <c r="C15" s="2">
        <f ca="1">OFFSET(FGHRS_tables!P5,Pindex*10+1,0)</f>
        <v>0</v>
      </c>
      <c r="D15" s="222" t="s">
        <v>310</v>
      </c>
    </row>
    <row r="16" spans="2:4" ht="11.25">
      <c r="B16" s="296" t="str">
        <f ca="1">OFFSET(FGHRS_tables!O5,0,0)</f>
        <v>CSA (mm2)</v>
      </c>
      <c r="C16" s="2">
        <f ca="1">OFFSET(FGHRS_tables!O5,Pindex*10+1,0)</f>
        <v>0</v>
      </c>
      <c r="D16" s="222" t="s">
        <v>308</v>
      </c>
    </row>
    <row r="17" spans="2:4" ht="11.25">
      <c r="B17" s="296" t="str">
        <f ca="1">OFFSET(FGHRS_tables!S5,0,0)</f>
        <v>Number of elements</v>
      </c>
      <c r="C17" s="2">
        <f ca="1">OFFSET(FGHRS_tables!S5,Pindex*10+1,0)</f>
        <v>0</v>
      </c>
      <c r="D17" s="298" t="s">
        <v>316</v>
      </c>
    </row>
    <row r="18" spans="1:6" ht="12" thickBot="1">
      <c r="A18" s="50"/>
      <c r="B18" s="297" t="s">
        <v>321</v>
      </c>
      <c r="C18" s="50">
        <f>IF(ISNUMBER(VLOOKUP(C16,F21:G28,2,FALSE)),VLOOKUP(C16,F21:G28,2,FALSE),1000000)*2*C15/1000</f>
        <v>0</v>
      </c>
      <c r="D18" s="298" t="s">
        <v>309</v>
      </c>
      <c r="E18" s="50"/>
      <c r="F18" s="50"/>
    </row>
    <row r="19" spans="1:7" ht="12.75">
      <c r="A19" s="50"/>
      <c r="B19" s="296" t="s">
        <v>319</v>
      </c>
      <c r="C19" s="271">
        <f>IF(C14=0,0,voltage^2/C14)</f>
        <v>0</v>
      </c>
      <c r="D19" s="298" t="s">
        <v>309</v>
      </c>
      <c r="E19" s="50"/>
      <c r="F19" s="288" t="s">
        <v>299</v>
      </c>
      <c r="G19" s="289"/>
    </row>
    <row r="20" spans="2:7" ht="11.25">
      <c r="B20" s="268" t="s">
        <v>320</v>
      </c>
      <c r="C20" s="271">
        <f>IF(R0+C18=0,1,C18/(C18+R0))</f>
        <v>1</v>
      </c>
      <c r="D20" s="267" t="s">
        <v>159</v>
      </c>
      <c r="F20" s="402" t="s">
        <v>307</v>
      </c>
      <c r="G20" s="290"/>
    </row>
    <row r="21" spans="2:7" ht="12.75">
      <c r="B21" s="95" t="s">
        <v>269</v>
      </c>
      <c r="C21" s="225">
        <f>0.76*CCVol</f>
        <v>0</v>
      </c>
      <c r="D21" s="222" t="s">
        <v>146</v>
      </c>
      <c r="F21" s="403"/>
      <c r="G21" s="291" t="s">
        <v>300</v>
      </c>
    </row>
    <row r="22" spans="2:7" ht="12.75">
      <c r="B22" s="95" t="s">
        <v>277</v>
      </c>
      <c r="C22" s="257">
        <f>IF(ISNUMBER(MIN(1+0.2*LN(C21/closecouple!C7),1)),MIN(1+0.2*LN(C21/closecouple!C7)),0)</f>
        <v>0</v>
      </c>
      <c r="D22" s="222" t="s">
        <v>281</v>
      </c>
      <c r="F22" s="292">
        <v>1</v>
      </c>
      <c r="G22" s="293">
        <v>18.1</v>
      </c>
    </row>
    <row r="23" spans="2:7" ht="12.75">
      <c r="B23" s="95" t="s">
        <v>272</v>
      </c>
      <c r="C23" s="2">
        <f>IF(ISNUMBER(VLOOKUP(shading,B38:D41,3,FALSE)),VLOOKUP(shading,B38:D41,3,FALSE),0)</f>
        <v>0</v>
      </c>
      <c r="D23" s="222" t="s">
        <v>281</v>
      </c>
      <c r="F23" s="292">
        <v>1.5</v>
      </c>
      <c r="G23" s="293">
        <v>12.1</v>
      </c>
    </row>
    <row r="24" spans="2:7" ht="12.75">
      <c r="B24" s="95" t="s">
        <v>271</v>
      </c>
      <c r="C24" s="2">
        <f>IF(ISNUMBER(VLOOKUP(Elevation,solartable,10,FALSE)),VLOOKUP(Elevation,solartable,10,FALSE),1)</f>
        <v>1</v>
      </c>
      <c r="D24" s="222" t="s">
        <v>282</v>
      </c>
      <c r="F24" s="292">
        <v>2.5</v>
      </c>
      <c r="G24" s="293">
        <v>7.41</v>
      </c>
    </row>
    <row r="25" spans="2:7" ht="12.75">
      <c r="B25" s="95" t="s">
        <v>280</v>
      </c>
      <c r="C25" s="2">
        <f>IF(ISNUMBER(HLOOKUP(orient,solartable,row,FALSE)),HLOOKUP(orient,solartable,row,FALSE),0)</f>
        <v>0</v>
      </c>
      <c r="D25" s="222" t="s">
        <v>283</v>
      </c>
      <c r="F25" s="292">
        <v>4</v>
      </c>
      <c r="G25" s="293">
        <v>4.61</v>
      </c>
    </row>
    <row r="26" spans="2:7" ht="12.75">
      <c r="B26" s="95" t="s">
        <v>273</v>
      </c>
      <c r="C26" s="258">
        <f>0.86*Pp*C25*C23*(1-cc)</f>
        <v>0</v>
      </c>
      <c r="D26" s="222" t="s">
        <v>278</v>
      </c>
      <c r="F26" s="292">
        <v>6</v>
      </c>
      <c r="G26" s="293">
        <v>3.08</v>
      </c>
    </row>
    <row r="27" spans="2:7" ht="12.75">
      <c r="B27" s="95" t="s">
        <v>274</v>
      </c>
      <c r="C27" s="258">
        <f>MAX((61*N+92)*8.76-Qsolar-Qwastewater,1)</f>
        <v>805.92</v>
      </c>
      <c r="D27" s="222" t="s">
        <v>278</v>
      </c>
      <c r="F27" s="292">
        <v>10</v>
      </c>
      <c r="G27" s="293">
        <v>1.83</v>
      </c>
    </row>
    <row r="28" spans="2:7" ht="13.5" thickBot="1">
      <c r="B28" s="95" t="s">
        <v>275</v>
      </c>
      <c r="C28" s="257">
        <f>C26/C27</f>
        <v>0</v>
      </c>
      <c r="D28" s="222"/>
      <c r="F28" s="294">
        <v>16</v>
      </c>
      <c r="G28" s="295">
        <v>1.15</v>
      </c>
    </row>
    <row r="29" spans="2:7" ht="12.75">
      <c r="B29" s="95" t="s">
        <v>276</v>
      </c>
      <c r="C29" s="257">
        <f>IF(C28&gt;0,1-EXP(-1/C28),0)</f>
        <v>0</v>
      </c>
      <c r="D29" s="222" t="s">
        <v>278</v>
      </c>
      <c r="F29" s="269"/>
      <c r="G29"/>
    </row>
    <row r="30" spans="2:7" ht="22.5" customHeight="1">
      <c r="B30" s="260" t="s">
        <v>312</v>
      </c>
      <c r="C30" s="264">
        <f>C26*C29*C22</f>
        <v>0</v>
      </c>
      <c r="D30" s="261" t="s">
        <v>278</v>
      </c>
      <c r="F30" s="270" t="s">
        <v>298</v>
      </c>
      <c r="G30"/>
    </row>
    <row r="31" spans="2:10" ht="11.25">
      <c r="B31" s="95"/>
      <c r="C31" s="2"/>
      <c r="D31" s="222"/>
      <c r="I31"/>
      <c r="J31"/>
    </row>
    <row r="32" spans="2:4" ht="22.5" customHeight="1">
      <c r="B32" s="223" t="s">
        <v>325</v>
      </c>
      <c r="C32" s="265">
        <f>C26*(1-C29*C22)</f>
        <v>0</v>
      </c>
      <c r="D32" s="222" t="s">
        <v>278</v>
      </c>
    </row>
    <row r="33" spans="2:4" ht="11.25">
      <c r="B33" s="95" t="s">
        <v>279</v>
      </c>
      <c r="C33" s="265">
        <f>closecouple!C3*365*(85-39.3)/(60-15)</f>
        <v>0</v>
      </c>
      <c r="D33" s="222" t="s">
        <v>278</v>
      </c>
    </row>
    <row r="34" spans="2:4" ht="23.25" customHeight="1" thickBot="1">
      <c r="B34" s="262" t="s">
        <v>294</v>
      </c>
      <c r="C34" s="266">
        <f>MIN(C32,C33)</f>
        <v>0</v>
      </c>
      <c r="D34" s="263" t="s">
        <v>278</v>
      </c>
    </row>
    <row r="35" ht="12" thickBot="1"/>
    <row r="36" spans="2:4" ht="12.75">
      <c r="B36" s="232" t="s">
        <v>323</v>
      </c>
      <c r="C36" s="233"/>
      <c r="D36" s="234"/>
    </row>
    <row r="37" spans="2:4" ht="12.75">
      <c r="B37" s="229" t="s">
        <v>227</v>
      </c>
      <c r="C37" s="230" t="s">
        <v>289</v>
      </c>
      <c r="D37" s="231" t="s">
        <v>290</v>
      </c>
    </row>
    <row r="38" spans="2:4" ht="12.75">
      <c r="B38" s="226" t="s">
        <v>256</v>
      </c>
      <c r="C38" s="227" t="s">
        <v>257</v>
      </c>
      <c r="D38" s="228">
        <v>0.5</v>
      </c>
    </row>
    <row r="39" spans="2:4" ht="12.75">
      <c r="B39" s="226" t="s">
        <v>287</v>
      </c>
      <c r="C39" s="227" t="s">
        <v>258</v>
      </c>
      <c r="D39" s="228">
        <v>0.65</v>
      </c>
    </row>
    <row r="40" spans="2:4" ht="12.75">
      <c r="B40" s="226" t="s">
        <v>259</v>
      </c>
      <c r="C40" s="227" t="s">
        <v>286</v>
      </c>
      <c r="D40" s="228">
        <v>0.8</v>
      </c>
    </row>
    <row r="41" spans="2:4" ht="12.75">
      <c r="B41" s="226" t="s">
        <v>288</v>
      </c>
      <c r="C41" s="227" t="s">
        <v>260</v>
      </c>
      <c r="D41" s="228">
        <v>1</v>
      </c>
    </row>
    <row r="42" spans="2:4" ht="13.5" thickBot="1">
      <c r="B42" s="235"/>
      <c r="C42" s="236"/>
      <c r="D42" s="237"/>
    </row>
    <row r="43" ht="12" thickBot="1"/>
    <row r="44" spans="2:11" ht="12.75">
      <c r="B44" s="245" t="s">
        <v>261</v>
      </c>
      <c r="C44" s="246"/>
      <c r="D44" s="246"/>
      <c r="E44" s="246"/>
      <c r="F44" s="246" t="s">
        <v>262</v>
      </c>
      <c r="G44" s="246"/>
      <c r="H44" s="247"/>
      <c r="I44" s="247"/>
      <c r="J44" s="247"/>
      <c r="K44" s="248" t="s">
        <v>270</v>
      </c>
    </row>
    <row r="45" spans="2:11" ht="12.75">
      <c r="B45" s="249" t="s">
        <v>227</v>
      </c>
      <c r="C45" s="250" t="s">
        <v>263</v>
      </c>
      <c r="D45" s="250" t="s">
        <v>264</v>
      </c>
      <c r="E45" s="250" t="s">
        <v>265</v>
      </c>
      <c r="F45" s="250" t="s">
        <v>266</v>
      </c>
      <c r="G45" s="250" t="s">
        <v>155</v>
      </c>
      <c r="H45" s="250" t="s">
        <v>267</v>
      </c>
      <c r="I45" s="250" t="s">
        <v>268</v>
      </c>
      <c r="J45" s="250" t="s">
        <v>88</v>
      </c>
      <c r="K45" s="251">
        <v>1</v>
      </c>
    </row>
    <row r="46" spans="2:11" ht="12.75">
      <c r="B46" s="252" t="s">
        <v>291</v>
      </c>
      <c r="C46" s="250">
        <v>933</v>
      </c>
      <c r="D46" s="250">
        <v>933</v>
      </c>
      <c r="E46" s="250">
        <v>933</v>
      </c>
      <c r="F46" s="250">
        <v>933</v>
      </c>
      <c r="G46" s="250">
        <v>933</v>
      </c>
      <c r="H46" s="250">
        <v>933</v>
      </c>
      <c r="I46" s="250">
        <v>933</v>
      </c>
      <c r="J46" s="250">
        <v>933</v>
      </c>
      <c r="K46" s="253">
        <v>2</v>
      </c>
    </row>
    <row r="47" spans="2:11" ht="12.75">
      <c r="B47" s="252">
        <v>30</v>
      </c>
      <c r="C47" s="250">
        <v>1042</v>
      </c>
      <c r="D47" s="250">
        <v>997</v>
      </c>
      <c r="E47" s="250">
        <v>997</v>
      </c>
      <c r="F47" s="250">
        <v>886</v>
      </c>
      <c r="G47" s="250">
        <v>886</v>
      </c>
      <c r="H47" s="250">
        <v>762</v>
      </c>
      <c r="I47" s="250">
        <v>762</v>
      </c>
      <c r="J47" s="250">
        <v>709</v>
      </c>
      <c r="K47" s="253">
        <v>3</v>
      </c>
    </row>
    <row r="48" spans="2:11" ht="12.75">
      <c r="B48" s="252">
        <v>45</v>
      </c>
      <c r="C48" s="250">
        <v>1023</v>
      </c>
      <c r="D48" s="250">
        <v>968</v>
      </c>
      <c r="E48" s="250">
        <v>968</v>
      </c>
      <c r="F48" s="250">
        <v>829</v>
      </c>
      <c r="G48" s="250">
        <v>829</v>
      </c>
      <c r="H48" s="250">
        <v>666</v>
      </c>
      <c r="I48" s="250">
        <v>666</v>
      </c>
      <c r="J48" s="250">
        <v>621</v>
      </c>
      <c r="K48" s="253">
        <v>4</v>
      </c>
    </row>
    <row r="49" spans="2:11" ht="12.75">
      <c r="B49" s="252">
        <v>60</v>
      </c>
      <c r="C49" s="250">
        <v>960</v>
      </c>
      <c r="D49" s="250">
        <v>900</v>
      </c>
      <c r="E49" s="250">
        <v>900</v>
      </c>
      <c r="F49" s="250">
        <v>753</v>
      </c>
      <c r="G49" s="250">
        <v>753</v>
      </c>
      <c r="H49" s="250">
        <v>580</v>
      </c>
      <c r="I49" s="250">
        <v>580</v>
      </c>
      <c r="J49" s="250">
        <v>485</v>
      </c>
      <c r="K49" s="253">
        <v>5</v>
      </c>
    </row>
    <row r="50" spans="2:11" ht="13.5" thickBot="1">
      <c r="B50" s="254" t="s">
        <v>292</v>
      </c>
      <c r="C50" s="255">
        <v>724</v>
      </c>
      <c r="D50" s="255">
        <v>684</v>
      </c>
      <c r="E50" s="255">
        <v>684</v>
      </c>
      <c r="F50" s="255">
        <v>565</v>
      </c>
      <c r="G50" s="255">
        <v>565</v>
      </c>
      <c r="H50" s="255">
        <v>427</v>
      </c>
      <c r="I50" s="255">
        <v>427</v>
      </c>
      <c r="J50" s="255">
        <v>360</v>
      </c>
      <c r="K50" s="256">
        <v>6</v>
      </c>
    </row>
  </sheetData>
  <sheetProtection password="EE41" sheet="1" selectLockedCells="1"/>
  <mergeCells count="5">
    <mergeCell ref="F20:F21"/>
    <mergeCell ref="B5:D5"/>
    <mergeCell ref="B2:D2"/>
    <mergeCell ref="B3:D3"/>
    <mergeCell ref="B4:D4"/>
  </mergeCells>
  <dataValidations count="4">
    <dataValidation type="list" allowBlank="1" showInputMessage="1" showErrorMessage="1" sqref="C9">
      <formula1>$B$37:$B$41</formula1>
    </dataValidation>
    <dataValidation type="list" allowBlank="1" showInputMessage="1" showErrorMessage="1" sqref="C8">
      <formula1>$B$45:$B$50</formula1>
    </dataValidation>
    <dataValidation type="list" allowBlank="1" showInputMessage="1" showErrorMessage="1" error="Q20 select compass points only" sqref="C7">
      <formula1>$B$45:$J$45</formula1>
    </dataValidation>
    <dataValidation type="decimal" allowBlank="1" showInputMessage="1" showErrorMessage="1" errorTitle="Q19 PV power rating error" error="The value is outside the expected range of 0 to 10kW.  Please check value." sqref="C6">
      <formula1>0</formula1>
      <formula2>10</formula2>
    </dataValidation>
  </dataValidations>
  <printOptions/>
  <pageMargins left="0.75" right="0.75" top="1" bottom="1" header="0.5" footer="0.5"/>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304"/>
  <sheetViews>
    <sheetView showGridLines="0" showRowColHeaders="0" zoomScalePageLayoutView="0" workbookViewId="0" topLeftCell="A1">
      <selection activeCell="V300" sqref="V300"/>
    </sheetView>
  </sheetViews>
  <sheetFormatPr defaultColWidth="9.33203125" defaultRowHeight="11.25"/>
  <cols>
    <col min="1" max="1" width="3.16015625" style="16" customWidth="1"/>
    <col min="2" max="2" width="21" style="16" customWidth="1"/>
    <col min="3" max="5" width="9.33203125" style="16" customWidth="1"/>
    <col min="6" max="6" width="8.66015625" style="16" customWidth="1"/>
    <col min="7" max="7" width="10.66015625" style="16" customWidth="1"/>
    <col min="8" max="10" width="9.33203125" style="16" customWidth="1"/>
    <col min="11" max="11" width="3.33203125" style="16" customWidth="1"/>
    <col min="12" max="12" width="18.83203125" style="16" hidden="1" customWidth="1"/>
    <col min="13" max="13" width="0" style="16" hidden="1" customWidth="1"/>
    <col min="14" max="14" width="3.16015625" style="16" customWidth="1"/>
    <col min="15" max="16" width="9.33203125" style="16" customWidth="1"/>
    <col min="17" max="17" width="13" style="16" customWidth="1"/>
    <col min="18" max="19" width="11.83203125" style="16" customWidth="1"/>
    <col min="20" max="16384" width="9.33203125" style="16" customWidth="1"/>
  </cols>
  <sheetData>
    <row r="1" spans="2:10" ht="27" customHeight="1">
      <c r="B1" s="415" t="s">
        <v>54</v>
      </c>
      <c r="C1" s="416"/>
      <c r="D1" s="416"/>
      <c r="E1" s="416"/>
      <c r="F1" s="416"/>
      <c r="G1" s="416"/>
      <c r="H1" s="416"/>
      <c r="I1" s="416"/>
      <c r="J1" s="417"/>
    </row>
    <row r="2" spans="2:10" ht="41.25" customHeight="1">
      <c r="B2" s="421" t="s">
        <v>241</v>
      </c>
      <c r="C2" s="422"/>
      <c r="D2" s="422"/>
      <c r="E2" s="422"/>
      <c r="F2" s="422"/>
      <c r="G2" s="422"/>
      <c r="H2" s="422"/>
      <c r="I2" s="422"/>
      <c r="J2" s="423"/>
    </row>
    <row r="3" spans="2:10" ht="22.5" customHeight="1">
      <c r="B3" s="418" t="s">
        <v>110</v>
      </c>
      <c r="C3" s="419"/>
      <c r="D3" s="419"/>
      <c r="E3" s="419"/>
      <c r="F3" s="419"/>
      <c r="G3" s="419"/>
      <c r="H3" s="419"/>
      <c r="I3" s="419"/>
      <c r="J3" s="420"/>
    </row>
    <row r="4" spans="2:19" ht="22.5" customHeight="1">
      <c r="B4" s="273" t="s">
        <v>127</v>
      </c>
      <c r="C4" s="274"/>
      <c r="D4" s="274"/>
      <c r="E4" s="274"/>
      <c r="F4" s="274"/>
      <c r="G4" s="273" t="s">
        <v>126</v>
      </c>
      <c r="H4" s="274"/>
      <c r="I4" s="274"/>
      <c r="J4" s="274"/>
      <c r="K4" s="274"/>
      <c r="L4" s="274"/>
      <c r="M4" s="274"/>
      <c r="N4" s="274"/>
      <c r="O4" s="277" t="s">
        <v>302</v>
      </c>
      <c r="P4" s="275"/>
      <c r="Q4" s="272"/>
      <c r="R4" s="272"/>
      <c r="S4" s="272"/>
    </row>
    <row r="5" spans="2:19" ht="45.75" thickBot="1">
      <c r="B5" s="274"/>
      <c r="C5" s="274"/>
      <c r="D5" s="274"/>
      <c r="E5" s="274"/>
      <c r="F5" s="275" t="s">
        <v>205</v>
      </c>
      <c r="G5" s="275" t="s">
        <v>195</v>
      </c>
      <c r="H5" s="275" t="s">
        <v>206</v>
      </c>
      <c r="I5" s="275"/>
      <c r="J5" s="275" t="s">
        <v>204</v>
      </c>
      <c r="K5" s="274"/>
      <c r="L5" s="274"/>
      <c r="M5" s="274"/>
      <c r="N5" s="274"/>
      <c r="O5" s="276" t="s">
        <v>301</v>
      </c>
      <c r="P5" s="275" t="s">
        <v>304</v>
      </c>
      <c r="Q5" s="275" t="s">
        <v>315</v>
      </c>
      <c r="R5" s="275" t="s">
        <v>303</v>
      </c>
      <c r="S5" s="275" t="s">
        <v>314</v>
      </c>
    </row>
    <row r="6" spans="2:19" ht="17.25" customHeight="1">
      <c r="B6" s="17" t="str">
        <f>"Boiler/device "</f>
        <v>Boiler/device </v>
      </c>
      <c r="C6" s="18">
        <v>100</v>
      </c>
      <c r="D6" s="18">
        <v>0</v>
      </c>
      <c r="E6" s="18">
        <v>0</v>
      </c>
      <c r="F6" s="19">
        <v>0</v>
      </c>
      <c r="G6" s="19">
        <v>100</v>
      </c>
      <c r="H6" s="18"/>
      <c r="I6" s="18">
        <v>0</v>
      </c>
      <c r="J6" s="20">
        <v>0</v>
      </c>
      <c r="L6" s="34">
        <f ca="1">OFFSET(RecognisedList,$G6+2,0)</f>
        <v>0</v>
      </c>
      <c r="M6" s="35">
        <f ca="1">OFFSET(RecognisedList,$G6+2,1)</f>
        <v>0</v>
      </c>
      <c r="O6" s="299">
        <v>0</v>
      </c>
      <c r="P6" s="279">
        <v>0</v>
      </c>
      <c r="Q6" s="279">
        <v>0</v>
      </c>
      <c r="R6" s="279">
        <v>0</v>
      </c>
      <c r="S6" s="280">
        <v>0</v>
      </c>
    </row>
    <row r="7" spans="2:19" ht="11.25">
      <c r="B7" s="21" t="s">
        <v>26</v>
      </c>
      <c r="C7" s="22" t="s">
        <v>11</v>
      </c>
      <c r="D7" s="22" t="s">
        <v>12</v>
      </c>
      <c r="E7" s="22" t="s">
        <v>81</v>
      </c>
      <c r="F7" s="23"/>
      <c r="G7" s="22" t="s">
        <v>26</v>
      </c>
      <c r="H7" s="22" t="s">
        <v>11</v>
      </c>
      <c r="I7" s="22" t="s">
        <v>12</v>
      </c>
      <c r="J7" s="24" t="s">
        <v>81</v>
      </c>
      <c r="L7" s="36">
        <f ca="1">OFFSET(RecognisedList,$G6+2,3)</f>
        <v>0</v>
      </c>
      <c r="M7" s="37">
        <f ca="1">OFFSET(RecognisedList,$G6+2,2)</f>
        <v>0</v>
      </c>
      <c r="O7" s="281"/>
      <c r="P7" s="278"/>
      <c r="Q7" s="278"/>
      <c r="R7" s="278"/>
      <c r="S7" s="282"/>
    </row>
    <row r="8" spans="2:19" ht="11.25">
      <c r="B8" s="21">
        <v>0</v>
      </c>
      <c r="C8" s="22">
        <v>0</v>
      </c>
      <c r="D8" s="22">
        <v>0</v>
      </c>
      <c r="E8" s="22">
        <v>0</v>
      </c>
      <c r="F8" s="23"/>
      <c r="G8" s="22">
        <v>0</v>
      </c>
      <c r="H8" s="22">
        <v>0</v>
      </c>
      <c r="I8" s="22">
        <v>0</v>
      </c>
      <c r="J8" s="24">
        <v>0</v>
      </c>
      <c r="O8" s="281"/>
      <c r="P8" s="278"/>
      <c r="Q8" s="278"/>
      <c r="R8" s="278"/>
      <c r="S8" s="282"/>
    </row>
    <row r="9" spans="2:19" ht="11.25">
      <c r="B9" s="21">
        <v>2000</v>
      </c>
      <c r="C9" s="22">
        <v>0</v>
      </c>
      <c r="D9" s="22">
        <v>0</v>
      </c>
      <c r="E9" s="22">
        <v>0</v>
      </c>
      <c r="F9" s="23"/>
      <c r="G9" s="22">
        <v>2000</v>
      </c>
      <c r="H9" s="22">
        <v>0</v>
      </c>
      <c r="I9" s="22">
        <v>0</v>
      </c>
      <c r="J9" s="24">
        <v>0</v>
      </c>
      <c r="O9" s="281"/>
      <c r="P9" s="278"/>
      <c r="Q9" s="278"/>
      <c r="R9" s="278"/>
      <c r="S9" s="282"/>
    </row>
    <row r="10" spans="2:19" ht="11.25">
      <c r="B10" s="21">
        <v>10000</v>
      </c>
      <c r="C10" s="22">
        <v>0</v>
      </c>
      <c r="D10" s="22">
        <v>0</v>
      </c>
      <c r="E10" s="22">
        <v>0</v>
      </c>
      <c r="F10" s="23"/>
      <c r="G10" s="22">
        <v>10000</v>
      </c>
      <c r="H10" s="22">
        <v>0</v>
      </c>
      <c r="I10" s="22">
        <v>0</v>
      </c>
      <c r="J10" s="24">
        <v>0</v>
      </c>
      <c r="O10" s="281"/>
      <c r="P10" s="278"/>
      <c r="Q10" s="278"/>
      <c r="R10" s="278"/>
      <c r="S10" s="282"/>
    </row>
    <row r="11" spans="2:19" ht="11.25">
      <c r="B11" s="21">
        <v>20000</v>
      </c>
      <c r="C11" s="22">
        <v>0</v>
      </c>
      <c r="D11" s="22">
        <v>0</v>
      </c>
      <c r="E11" s="22">
        <v>0</v>
      </c>
      <c r="F11" s="23"/>
      <c r="G11" s="22">
        <v>20000</v>
      </c>
      <c r="H11" s="22">
        <v>0</v>
      </c>
      <c r="I11" s="22">
        <v>0</v>
      </c>
      <c r="J11" s="24">
        <v>0</v>
      </c>
      <c r="O11" s="281"/>
      <c r="P11" s="278"/>
      <c r="Q11" s="278"/>
      <c r="R11" s="278"/>
      <c r="S11" s="282"/>
    </row>
    <row r="12" spans="2:19" ht="11.25">
      <c r="B12" s="21">
        <v>40000</v>
      </c>
      <c r="C12" s="22">
        <v>0</v>
      </c>
      <c r="D12" s="22">
        <v>0</v>
      </c>
      <c r="E12" s="22">
        <v>0</v>
      </c>
      <c r="F12" s="23"/>
      <c r="G12" s="22">
        <v>40000</v>
      </c>
      <c r="H12" s="22">
        <v>0</v>
      </c>
      <c r="I12" s="22">
        <v>0</v>
      </c>
      <c r="J12" s="24">
        <v>0</v>
      </c>
      <c r="O12" s="281"/>
      <c r="P12" s="278"/>
      <c r="Q12" s="278"/>
      <c r="R12" s="278"/>
      <c r="S12" s="282"/>
    </row>
    <row r="13" spans="2:19" ht="11.25">
      <c r="B13" s="21">
        <v>80000</v>
      </c>
      <c r="C13" s="22">
        <v>0</v>
      </c>
      <c r="D13" s="22">
        <v>0</v>
      </c>
      <c r="E13" s="22">
        <v>0</v>
      </c>
      <c r="F13" s="23"/>
      <c r="G13" s="22">
        <v>80000</v>
      </c>
      <c r="H13" s="22">
        <v>0</v>
      </c>
      <c r="I13" s="22">
        <v>0</v>
      </c>
      <c r="J13" s="24">
        <v>0</v>
      </c>
      <c r="O13" s="281"/>
      <c r="P13" s="278"/>
      <c r="Q13" s="278"/>
      <c r="R13" s="278"/>
      <c r="S13" s="282"/>
    </row>
    <row r="14" spans="2:19" ht="12" thickBot="1">
      <c r="B14" s="26"/>
      <c r="C14" s="27"/>
      <c r="D14" s="27"/>
      <c r="E14" s="27"/>
      <c r="F14" s="27"/>
      <c r="G14" s="27"/>
      <c r="H14" s="27"/>
      <c r="I14" s="27"/>
      <c r="J14" s="28"/>
      <c r="O14" s="283"/>
      <c r="P14" s="284"/>
      <c r="Q14" s="284"/>
      <c r="R14" s="284"/>
      <c r="S14" s="285"/>
    </row>
    <row r="15" ht="12" thickBot="1"/>
    <row r="16" spans="2:19" ht="11.25">
      <c r="B16" s="17" t="s">
        <v>124</v>
      </c>
      <c r="C16" s="18">
        <f>C6+1</f>
        <v>101</v>
      </c>
      <c r="D16" s="18">
        <v>0</v>
      </c>
      <c r="E16" s="18">
        <v>0.072</v>
      </c>
      <c r="F16" s="19">
        <v>0</v>
      </c>
      <c r="G16" s="19">
        <f>1+G6</f>
        <v>101</v>
      </c>
      <c r="H16" s="18"/>
      <c r="I16" s="18">
        <v>0</v>
      </c>
      <c r="J16" s="20">
        <f>E16</f>
        <v>0.072</v>
      </c>
      <c r="L16" s="34">
        <f ca="1">OFFSET(RecognisedList,$G16+2,0)</f>
        <v>0</v>
      </c>
      <c r="M16" s="35">
        <f ca="1">OFFSET(RecognisedList,$G16+2,1)</f>
        <v>0</v>
      </c>
      <c r="O16" s="299">
        <v>0</v>
      </c>
      <c r="P16" s="279">
        <v>0</v>
      </c>
      <c r="Q16" s="279">
        <v>0</v>
      </c>
      <c r="R16" s="279">
        <v>0</v>
      </c>
      <c r="S16" s="280">
        <v>0</v>
      </c>
    </row>
    <row r="17" spans="2:19" ht="11.25">
      <c r="B17" s="21" t="s">
        <v>26</v>
      </c>
      <c r="C17" s="22" t="s">
        <v>11</v>
      </c>
      <c r="D17" s="22" t="s">
        <v>12</v>
      </c>
      <c r="E17" s="22" t="s">
        <v>81</v>
      </c>
      <c r="F17" s="23"/>
      <c r="G17" s="22" t="s">
        <v>26</v>
      </c>
      <c r="H17" s="22" t="s">
        <v>11</v>
      </c>
      <c r="I17" s="22" t="s">
        <v>12</v>
      </c>
      <c r="J17" s="24" t="s">
        <v>81</v>
      </c>
      <c r="L17" s="36">
        <f ca="1">OFFSET(RecognisedList,$G16+2,3)</f>
        <v>0</v>
      </c>
      <c r="M17" s="37">
        <f ca="1">OFFSET(RecognisedList,$G16+2,2)</f>
        <v>0</v>
      </c>
      <c r="O17" s="281"/>
      <c r="P17" s="278"/>
      <c r="Q17" s="278"/>
      <c r="R17" s="278"/>
      <c r="S17" s="282"/>
    </row>
    <row r="18" spans="2:19" ht="11.25">
      <c r="B18" s="21">
        <v>0</v>
      </c>
      <c r="C18" s="22">
        <v>46.3</v>
      </c>
      <c r="D18" s="22">
        <v>0.0659</v>
      </c>
      <c r="E18" s="22">
        <v>-285</v>
      </c>
      <c r="F18" s="23"/>
      <c r="G18" s="22">
        <v>0</v>
      </c>
      <c r="H18" s="22">
        <v>1.9</v>
      </c>
      <c r="I18" s="120">
        <v>0.0785</v>
      </c>
      <c r="J18" s="24">
        <v>0</v>
      </c>
      <c r="O18" s="281"/>
      <c r="P18" s="278"/>
      <c r="Q18" s="278"/>
      <c r="R18" s="278"/>
      <c r="S18" s="282"/>
    </row>
    <row r="19" spans="2:19" ht="11.25">
      <c r="B19" s="21">
        <v>2000</v>
      </c>
      <c r="C19" s="22">
        <v>56.3</v>
      </c>
      <c r="D19" s="22">
        <v>0.0634</v>
      </c>
      <c r="E19" s="22">
        <v>-213</v>
      </c>
      <c r="F19" s="23"/>
      <c r="G19" s="22">
        <v>2000</v>
      </c>
      <c r="H19" s="22">
        <v>7.5</v>
      </c>
      <c r="I19" s="120">
        <v>0.0765</v>
      </c>
      <c r="J19" s="24">
        <v>28</v>
      </c>
      <c r="O19" s="281"/>
      <c r="P19" s="278"/>
      <c r="Q19" s="278"/>
      <c r="R19" s="278"/>
      <c r="S19" s="282"/>
    </row>
    <row r="20" spans="2:19" ht="11.25">
      <c r="B20" s="21">
        <v>10000</v>
      </c>
      <c r="C20" s="22">
        <v>216</v>
      </c>
      <c r="D20" s="22">
        <v>0.0391</v>
      </c>
      <c r="E20" s="22">
        <v>-1014</v>
      </c>
      <c r="F20" s="23"/>
      <c r="G20" s="22">
        <v>10000</v>
      </c>
      <c r="H20" s="22">
        <v>87.4</v>
      </c>
      <c r="I20" s="120">
        <v>0.0657</v>
      </c>
      <c r="J20" s="24">
        <v>-350</v>
      </c>
      <c r="O20" s="281"/>
      <c r="P20" s="278"/>
      <c r="Q20" s="278"/>
      <c r="R20" s="278"/>
      <c r="S20" s="282"/>
    </row>
    <row r="21" spans="2:19" ht="11.25">
      <c r="B21" s="21">
        <v>20000</v>
      </c>
      <c r="C21" s="22">
        <v>527.1</v>
      </c>
      <c r="D21" s="22">
        <v>-0.0383</v>
      </c>
      <c r="E21" s="22">
        <v>-3044</v>
      </c>
      <c r="F21" s="23"/>
      <c r="G21" s="22">
        <v>20000</v>
      </c>
      <c r="H21" s="22">
        <v>196</v>
      </c>
      <c r="I21" s="120">
        <v>0.0507</v>
      </c>
      <c r="J21" s="24">
        <v>-1017</v>
      </c>
      <c r="O21" s="281"/>
      <c r="P21" s="278"/>
      <c r="Q21" s="278"/>
      <c r="R21" s="278"/>
      <c r="S21" s="282"/>
    </row>
    <row r="22" spans="2:19" ht="11.25">
      <c r="B22" s="21">
        <v>40000</v>
      </c>
      <c r="C22" s="22">
        <v>650.2</v>
      </c>
      <c r="D22" s="22">
        <v>-0.0502</v>
      </c>
      <c r="E22" s="25">
        <v>-3847</v>
      </c>
      <c r="F22" s="23"/>
      <c r="G22" s="22">
        <v>40000</v>
      </c>
      <c r="H22" s="22">
        <v>319.1</v>
      </c>
      <c r="I22" s="120">
        <v>0.0389</v>
      </c>
      <c r="J22" s="29">
        <v>-1820</v>
      </c>
      <c r="O22" s="281"/>
      <c r="P22" s="278"/>
      <c r="Q22" s="278"/>
      <c r="R22" s="278"/>
      <c r="S22" s="282"/>
    </row>
    <row r="23" spans="2:19" ht="11.25">
      <c r="B23" s="21">
        <v>80000</v>
      </c>
      <c r="C23" s="22">
        <v>736.4</v>
      </c>
      <c r="D23" s="22">
        <v>-0.0433</v>
      </c>
      <c r="E23" s="22">
        <v>-4453</v>
      </c>
      <c r="F23" s="23"/>
      <c r="G23" s="22">
        <v>80000</v>
      </c>
      <c r="H23" s="22">
        <v>405.4</v>
      </c>
      <c r="I23" s="120">
        <v>0.0457</v>
      </c>
      <c r="J23" s="24">
        <v>-2426</v>
      </c>
      <c r="O23" s="281"/>
      <c r="P23" s="278"/>
      <c r="Q23" s="278"/>
      <c r="R23" s="278"/>
      <c r="S23" s="282"/>
    </row>
    <row r="24" spans="2:19" ht="12" thickBot="1">
      <c r="B24" s="26"/>
      <c r="C24" s="27"/>
      <c r="D24" s="27"/>
      <c r="E24" s="27"/>
      <c r="F24" s="27"/>
      <c r="G24" s="27"/>
      <c r="H24" s="27"/>
      <c r="I24" s="27"/>
      <c r="J24" s="28"/>
      <c r="O24" s="283"/>
      <c r="P24" s="284"/>
      <c r="Q24" s="284"/>
      <c r="R24" s="284"/>
      <c r="S24" s="285"/>
    </row>
    <row r="25" ht="12" thickBot="1"/>
    <row r="26" spans="2:19" ht="11.25">
      <c r="B26" s="17" t="s">
        <v>125</v>
      </c>
      <c r="C26" s="18">
        <f>C16+1</f>
        <v>102</v>
      </c>
      <c r="D26" s="18">
        <v>0</v>
      </c>
      <c r="E26" s="18">
        <f>ROUND(E16*0.95,4)</f>
        <v>0.0684</v>
      </c>
      <c r="F26" s="19">
        <v>0</v>
      </c>
      <c r="G26" s="19">
        <f>1+G16</f>
        <v>102</v>
      </c>
      <c r="H26" s="18"/>
      <c r="I26" s="18">
        <v>0</v>
      </c>
      <c r="J26" s="20">
        <f>E26</f>
        <v>0.0684</v>
      </c>
      <c r="L26" s="34">
        <f ca="1">OFFSET(RecognisedList,$G26+2,0)</f>
        <v>0</v>
      </c>
      <c r="M26" s="35">
        <f ca="1">OFFSET(RecognisedList,$G26+2,1)</f>
        <v>0</v>
      </c>
      <c r="O26" s="299">
        <v>0</v>
      </c>
      <c r="P26" s="279">
        <v>0</v>
      </c>
      <c r="Q26" s="279">
        <v>0</v>
      </c>
      <c r="R26" s="279">
        <v>0</v>
      </c>
      <c r="S26" s="280">
        <v>0</v>
      </c>
    </row>
    <row r="27" spans="2:19" ht="11.25">
      <c r="B27" s="21" t="s">
        <v>26</v>
      </c>
      <c r="C27" s="22" t="s">
        <v>11</v>
      </c>
      <c r="D27" s="22" t="s">
        <v>12</v>
      </c>
      <c r="E27" s="22" t="s">
        <v>81</v>
      </c>
      <c r="F27" s="23"/>
      <c r="G27" s="22" t="s">
        <v>26</v>
      </c>
      <c r="H27" s="22" t="s">
        <v>11</v>
      </c>
      <c r="I27" s="22" t="s">
        <v>12</v>
      </c>
      <c r="J27" s="24" t="s">
        <v>81</v>
      </c>
      <c r="L27" s="36">
        <f ca="1">OFFSET(RecognisedList,$G26+2,3)</f>
        <v>0</v>
      </c>
      <c r="M27" s="37">
        <f ca="1">OFFSET(RecognisedList,$G26+2,2)</f>
        <v>0</v>
      </c>
      <c r="O27" s="281"/>
      <c r="P27" s="278"/>
      <c r="Q27" s="278"/>
      <c r="R27" s="278"/>
      <c r="S27" s="282"/>
    </row>
    <row r="28" spans="2:19" ht="11.25">
      <c r="B28" s="21">
        <v>0</v>
      </c>
      <c r="C28" s="22">
        <f aca="true" t="shared" si="0" ref="C28:C33">ROUND(0.95*C18,1)</f>
        <v>44</v>
      </c>
      <c r="D28" s="22">
        <f aca="true" t="shared" si="1" ref="D28:D33">ROUND(0.95*D18,4)</f>
        <v>0.0626</v>
      </c>
      <c r="E28" s="22">
        <f aca="true" t="shared" si="2" ref="E28:E33">ROUND(0.95*E18,0)</f>
        <v>-271</v>
      </c>
      <c r="F28" s="23"/>
      <c r="G28" s="22">
        <v>0</v>
      </c>
      <c r="H28" s="22">
        <f aca="true" t="shared" si="3" ref="H28:H33">ROUND(0.95*H18,1)</f>
        <v>1.8</v>
      </c>
      <c r="I28" s="120">
        <f aca="true" t="shared" si="4" ref="I28:I33">ROUND(0.95*I18,4)</f>
        <v>0.0746</v>
      </c>
      <c r="J28" s="24">
        <f aca="true" t="shared" si="5" ref="J28:J33">ROUND(0.95*J18,0)</f>
        <v>0</v>
      </c>
      <c r="O28" s="281"/>
      <c r="P28" s="278"/>
      <c r="Q28" s="278"/>
      <c r="R28" s="278"/>
      <c r="S28" s="282"/>
    </row>
    <row r="29" spans="2:19" ht="11.25">
      <c r="B29" s="21">
        <v>2000</v>
      </c>
      <c r="C29" s="22">
        <f t="shared" si="0"/>
        <v>53.5</v>
      </c>
      <c r="D29" s="22">
        <f t="shared" si="1"/>
        <v>0.0602</v>
      </c>
      <c r="E29" s="22">
        <f t="shared" si="2"/>
        <v>-202</v>
      </c>
      <c r="F29" s="23"/>
      <c r="G29" s="22">
        <v>2000</v>
      </c>
      <c r="H29" s="22">
        <f t="shared" si="3"/>
        <v>7.1</v>
      </c>
      <c r="I29" s="120">
        <f t="shared" si="4"/>
        <v>0.0727</v>
      </c>
      <c r="J29" s="24">
        <f t="shared" si="5"/>
        <v>27</v>
      </c>
      <c r="O29" s="281"/>
      <c r="P29" s="278"/>
      <c r="Q29" s="278"/>
      <c r="R29" s="278"/>
      <c r="S29" s="282"/>
    </row>
    <row r="30" spans="2:19" ht="11.25">
      <c r="B30" s="21">
        <v>10000</v>
      </c>
      <c r="C30" s="22">
        <f t="shared" si="0"/>
        <v>205.2</v>
      </c>
      <c r="D30" s="22">
        <f t="shared" si="1"/>
        <v>0.0371</v>
      </c>
      <c r="E30" s="22">
        <f t="shared" si="2"/>
        <v>-963</v>
      </c>
      <c r="F30" s="23"/>
      <c r="G30" s="22">
        <v>10000</v>
      </c>
      <c r="H30" s="22">
        <f t="shared" si="3"/>
        <v>83</v>
      </c>
      <c r="I30" s="120">
        <f t="shared" si="4"/>
        <v>0.0624</v>
      </c>
      <c r="J30" s="24">
        <f t="shared" si="5"/>
        <v>-333</v>
      </c>
      <c r="O30" s="281"/>
      <c r="P30" s="278"/>
      <c r="Q30" s="278"/>
      <c r="R30" s="278"/>
      <c r="S30" s="282"/>
    </row>
    <row r="31" spans="2:19" ht="11.25">
      <c r="B31" s="21">
        <v>20000</v>
      </c>
      <c r="C31" s="22">
        <f t="shared" si="0"/>
        <v>500.7</v>
      </c>
      <c r="D31" s="22">
        <f t="shared" si="1"/>
        <v>-0.0364</v>
      </c>
      <c r="E31" s="22">
        <f t="shared" si="2"/>
        <v>-2892</v>
      </c>
      <c r="F31" s="23"/>
      <c r="G31" s="22">
        <v>20000</v>
      </c>
      <c r="H31" s="22">
        <f t="shared" si="3"/>
        <v>186.2</v>
      </c>
      <c r="I31" s="120">
        <f t="shared" si="4"/>
        <v>0.0482</v>
      </c>
      <c r="J31" s="24">
        <f t="shared" si="5"/>
        <v>-966</v>
      </c>
      <c r="O31" s="281"/>
      <c r="P31" s="278"/>
      <c r="Q31" s="278"/>
      <c r="R31" s="278"/>
      <c r="S31" s="282"/>
    </row>
    <row r="32" spans="2:19" ht="11.25">
      <c r="B32" s="21">
        <v>40000</v>
      </c>
      <c r="C32" s="22">
        <f t="shared" si="0"/>
        <v>617.7</v>
      </c>
      <c r="D32" s="22">
        <f t="shared" si="1"/>
        <v>-0.0477</v>
      </c>
      <c r="E32" s="22">
        <f t="shared" si="2"/>
        <v>-3655</v>
      </c>
      <c r="F32" s="23"/>
      <c r="G32" s="22">
        <v>40000</v>
      </c>
      <c r="H32" s="22">
        <f t="shared" si="3"/>
        <v>303.1</v>
      </c>
      <c r="I32" s="120">
        <f t="shared" si="4"/>
        <v>0.037</v>
      </c>
      <c r="J32" s="29">
        <f t="shared" si="5"/>
        <v>-1729</v>
      </c>
      <c r="O32" s="281"/>
      <c r="P32" s="278"/>
      <c r="Q32" s="278"/>
      <c r="R32" s="278"/>
      <c r="S32" s="282"/>
    </row>
    <row r="33" spans="2:19" ht="11.25">
      <c r="B33" s="21">
        <v>80000</v>
      </c>
      <c r="C33" s="22">
        <f t="shared" si="0"/>
        <v>699.6</v>
      </c>
      <c r="D33" s="22">
        <f t="shared" si="1"/>
        <v>-0.0411</v>
      </c>
      <c r="E33" s="22">
        <f t="shared" si="2"/>
        <v>-4230</v>
      </c>
      <c r="F33" s="23"/>
      <c r="G33" s="22">
        <v>80000</v>
      </c>
      <c r="H33" s="22">
        <f t="shared" si="3"/>
        <v>385.1</v>
      </c>
      <c r="I33" s="120">
        <f t="shared" si="4"/>
        <v>0.0434</v>
      </c>
      <c r="J33" s="24">
        <f t="shared" si="5"/>
        <v>-2305</v>
      </c>
      <c r="O33" s="281"/>
      <c r="P33" s="278"/>
      <c r="Q33" s="278"/>
      <c r="R33" s="278"/>
      <c r="S33" s="282"/>
    </row>
    <row r="34" spans="2:19" ht="12" thickBot="1">
      <c r="B34" s="26"/>
      <c r="C34" s="27"/>
      <c r="D34" s="27"/>
      <c r="E34" s="27"/>
      <c r="F34" s="27"/>
      <c r="G34" s="27"/>
      <c r="H34" s="27"/>
      <c r="I34" s="27"/>
      <c r="J34" s="28"/>
      <c r="O34" s="283"/>
      <c r="P34" s="284"/>
      <c r="Q34" s="284"/>
      <c r="R34" s="284"/>
      <c r="S34" s="285"/>
    </row>
    <row r="35" ht="12" thickBot="1"/>
    <row r="36" spans="2:19" ht="11.25">
      <c r="B36" s="17" t="s">
        <v>123</v>
      </c>
      <c r="C36" s="18">
        <f>C26+1</f>
        <v>103</v>
      </c>
      <c r="D36" s="18">
        <v>0</v>
      </c>
      <c r="E36" s="18">
        <v>0.096</v>
      </c>
      <c r="F36" s="19">
        <v>0</v>
      </c>
      <c r="G36" s="19">
        <f>1+G26</f>
        <v>103</v>
      </c>
      <c r="H36" s="18"/>
      <c r="I36" s="18">
        <v>0</v>
      </c>
      <c r="J36" s="20">
        <f>E36</f>
        <v>0.096</v>
      </c>
      <c r="L36" s="34">
        <f ca="1">OFFSET(RecognisedList,$G36+2,0)</f>
        <v>0</v>
      </c>
      <c r="M36" s="35">
        <f ca="1">OFFSET(RecognisedList,$G36+2,1)</f>
        <v>0</v>
      </c>
      <c r="O36" s="299">
        <v>0</v>
      </c>
      <c r="P36" s="279">
        <v>0</v>
      </c>
      <c r="Q36" s="279">
        <v>0</v>
      </c>
      <c r="R36" s="279">
        <v>0</v>
      </c>
      <c r="S36" s="280">
        <v>0</v>
      </c>
    </row>
    <row r="37" spans="2:19" ht="11.25">
      <c r="B37" s="21" t="s">
        <v>26</v>
      </c>
      <c r="C37" s="22" t="s">
        <v>11</v>
      </c>
      <c r="D37" s="22" t="s">
        <v>12</v>
      </c>
      <c r="E37" s="22" t="s">
        <v>81</v>
      </c>
      <c r="F37" s="23"/>
      <c r="G37" s="22" t="s">
        <v>26</v>
      </c>
      <c r="H37" s="22" t="s">
        <v>11</v>
      </c>
      <c r="I37" s="22" t="s">
        <v>12</v>
      </c>
      <c r="J37" s="24" t="s">
        <v>81</v>
      </c>
      <c r="L37" s="36">
        <f ca="1">OFFSET(RecognisedList,$G36+2,3)</f>
        <v>0</v>
      </c>
      <c r="M37" s="37">
        <f ca="1">OFFSET(RecognisedList,$G36+2,2)</f>
        <v>0</v>
      </c>
      <c r="O37" s="281"/>
      <c r="P37" s="278"/>
      <c r="Q37" s="278"/>
      <c r="R37" s="278"/>
      <c r="S37" s="282"/>
    </row>
    <row r="38" spans="2:19" ht="11.25">
      <c r="B38" s="21">
        <v>0</v>
      </c>
      <c r="C38" s="22">
        <v>0</v>
      </c>
      <c r="D38" s="22">
        <v>0.1055</v>
      </c>
      <c r="E38" s="22">
        <v>0</v>
      </c>
      <c r="F38" s="23"/>
      <c r="G38" s="22">
        <v>0</v>
      </c>
      <c r="H38" s="22">
        <v>0</v>
      </c>
      <c r="I38" s="120">
        <v>0.1055</v>
      </c>
      <c r="J38" s="24">
        <v>0</v>
      </c>
      <c r="O38" s="281"/>
      <c r="P38" s="278"/>
      <c r="Q38" s="278"/>
      <c r="R38" s="278"/>
      <c r="S38" s="282"/>
    </row>
    <row r="39" spans="2:19" ht="11.25">
      <c r="B39" s="21">
        <v>2000</v>
      </c>
      <c r="C39" s="22">
        <v>36.6</v>
      </c>
      <c r="D39" s="22">
        <v>0.0984</v>
      </c>
      <c r="E39" s="22">
        <v>-62</v>
      </c>
      <c r="F39" s="23"/>
      <c r="G39" s="22">
        <v>2000</v>
      </c>
      <c r="H39" s="22">
        <v>20</v>
      </c>
      <c r="I39" s="120">
        <v>0.1016</v>
      </c>
      <c r="J39" s="24">
        <v>-33.8</v>
      </c>
      <c r="O39" s="281"/>
      <c r="P39" s="278"/>
      <c r="Q39" s="278"/>
      <c r="R39" s="278"/>
      <c r="S39" s="282"/>
    </row>
    <row r="40" spans="2:19" ht="11.25">
      <c r="B40" s="21">
        <v>10000</v>
      </c>
      <c r="C40" s="22">
        <v>297.6</v>
      </c>
      <c r="D40" s="22">
        <v>0.0507</v>
      </c>
      <c r="E40" s="22">
        <v>-1698</v>
      </c>
      <c r="F40" s="23"/>
      <c r="G40" s="22">
        <v>10000</v>
      </c>
      <c r="H40" s="22">
        <v>163.2</v>
      </c>
      <c r="I40" s="120">
        <v>0.0755</v>
      </c>
      <c r="J40" s="24">
        <v>-930.6</v>
      </c>
      <c r="O40" s="281"/>
      <c r="P40" s="278"/>
      <c r="Q40" s="278"/>
      <c r="R40" s="278"/>
      <c r="S40" s="282"/>
    </row>
    <row r="41" spans="2:19" ht="11.25">
      <c r="B41" s="21">
        <v>20000</v>
      </c>
      <c r="C41" s="22">
        <v>444.6</v>
      </c>
      <c r="D41" s="22">
        <v>0.0308</v>
      </c>
      <c r="E41" s="22">
        <v>-2699</v>
      </c>
      <c r="F41" s="23"/>
      <c r="G41" s="22">
        <v>20000</v>
      </c>
      <c r="H41" s="22">
        <v>243.7</v>
      </c>
      <c r="I41" s="120">
        <v>0.0646</v>
      </c>
      <c r="J41" s="24">
        <v>-1479.4</v>
      </c>
      <c r="O41" s="281"/>
      <c r="P41" s="278"/>
      <c r="Q41" s="278"/>
      <c r="R41" s="278"/>
      <c r="S41" s="282"/>
    </row>
    <row r="42" spans="2:19" ht="11.25">
      <c r="B42" s="21">
        <v>40000</v>
      </c>
      <c r="C42" s="22">
        <v>627.5</v>
      </c>
      <c r="D42" s="22">
        <v>-0.0118</v>
      </c>
      <c r="E42" s="25">
        <v>-3979</v>
      </c>
      <c r="F42" s="23"/>
      <c r="G42" s="22">
        <v>40000</v>
      </c>
      <c r="H42" s="22">
        <v>303.2</v>
      </c>
      <c r="I42" s="120">
        <v>0.0617</v>
      </c>
      <c r="J42" s="29">
        <v>-1914.1</v>
      </c>
      <c r="O42" s="281"/>
      <c r="P42" s="278"/>
      <c r="Q42" s="278"/>
      <c r="R42" s="278"/>
      <c r="S42" s="282"/>
    </row>
    <row r="43" spans="2:19" ht="11.25">
      <c r="B43" s="21">
        <v>80000</v>
      </c>
      <c r="C43" s="22">
        <v>628.7</v>
      </c>
      <c r="D43" s="22">
        <v>-0.0107</v>
      </c>
      <c r="E43" s="22">
        <v>-3979</v>
      </c>
      <c r="F43" s="23"/>
      <c r="G43" s="22">
        <v>80000</v>
      </c>
      <c r="H43" s="22">
        <v>295.6</v>
      </c>
      <c r="I43" s="120">
        <v>0.0675</v>
      </c>
      <c r="J43" s="24">
        <v>-1861.9</v>
      </c>
      <c r="O43" s="281"/>
      <c r="P43" s="278"/>
      <c r="Q43" s="278"/>
      <c r="R43" s="278"/>
      <c r="S43" s="282"/>
    </row>
    <row r="44" spans="2:19" ht="12" thickBot="1">
      <c r="B44" s="26"/>
      <c r="C44" s="27"/>
      <c r="D44" s="27"/>
      <c r="E44" s="27"/>
      <c r="F44" s="27"/>
      <c r="G44" s="27"/>
      <c r="H44" s="27"/>
      <c r="I44" s="27"/>
      <c r="J44" s="28"/>
      <c r="O44" s="283"/>
      <c r="P44" s="284"/>
      <c r="Q44" s="284"/>
      <c r="R44" s="284"/>
      <c r="S44" s="285"/>
    </row>
    <row r="45" ht="12" thickBot="1"/>
    <row r="46" spans="2:19" ht="11.25">
      <c r="B46" s="17" t="s">
        <v>122</v>
      </c>
      <c r="C46" s="18">
        <f>C36+1</f>
        <v>104</v>
      </c>
      <c r="D46" s="18">
        <v>0</v>
      </c>
      <c r="E46" s="18">
        <f>ROUND(E36*0.95,4)</f>
        <v>0.0912</v>
      </c>
      <c r="F46" s="19">
        <v>0</v>
      </c>
      <c r="G46" s="19">
        <f>1+G36</f>
        <v>104</v>
      </c>
      <c r="H46" s="18"/>
      <c r="I46" s="18">
        <v>0</v>
      </c>
      <c r="J46" s="20">
        <f>E46</f>
        <v>0.0912</v>
      </c>
      <c r="L46" s="34">
        <f ca="1">OFFSET(RecognisedList,$G46+2,0)</f>
        <v>0</v>
      </c>
      <c r="M46" s="35">
        <f ca="1">OFFSET(RecognisedList,$G46+2,1)</f>
        <v>0</v>
      </c>
      <c r="O46" s="299">
        <v>0</v>
      </c>
      <c r="P46" s="279">
        <v>0</v>
      </c>
      <c r="Q46" s="279">
        <v>0</v>
      </c>
      <c r="R46" s="279">
        <v>0</v>
      </c>
      <c r="S46" s="280">
        <v>0</v>
      </c>
    </row>
    <row r="47" spans="2:19" ht="11.25">
      <c r="B47" s="21" t="s">
        <v>26</v>
      </c>
      <c r="C47" s="22" t="s">
        <v>11</v>
      </c>
      <c r="D47" s="22" t="s">
        <v>12</v>
      </c>
      <c r="E47" s="22" t="s">
        <v>81</v>
      </c>
      <c r="F47" s="23"/>
      <c r="G47" s="22" t="s">
        <v>26</v>
      </c>
      <c r="H47" s="22" t="s">
        <v>11</v>
      </c>
      <c r="I47" s="22" t="s">
        <v>12</v>
      </c>
      <c r="J47" s="24" t="s">
        <v>81</v>
      </c>
      <c r="L47" s="36">
        <f ca="1">OFFSET(RecognisedList,$G46+2,3)</f>
        <v>0</v>
      </c>
      <c r="M47" s="37">
        <f ca="1">OFFSET(RecognisedList,$G46+2,2)</f>
        <v>0</v>
      </c>
      <c r="O47" s="281"/>
      <c r="P47" s="278"/>
      <c r="Q47" s="278"/>
      <c r="R47" s="278"/>
      <c r="S47" s="282"/>
    </row>
    <row r="48" spans="2:19" ht="11.25">
      <c r="B48" s="21">
        <v>0</v>
      </c>
      <c r="C48" s="22">
        <f aca="true" t="shared" si="6" ref="C48:C53">ROUND(0.95*C38,1)</f>
        <v>0</v>
      </c>
      <c r="D48" s="22">
        <f aca="true" t="shared" si="7" ref="D48:D53">ROUND(0.95*D38,4)</f>
        <v>0.1002</v>
      </c>
      <c r="E48" s="22">
        <f aca="true" t="shared" si="8" ref="E48:E53">ROUND(0.95*E38,0)</f>
        <v>0</v>
      </c>
      <c r="F48" s="23"/>
      <c r="G48" s="22">
        <v>0</v>
      </c>
      <c r="H48" s="22">
        <f aca="true" t="shared" si="9" ref="H48:H53">ROUND(0.95*H38,1)</f>
        <v>0</v>
      </c>
      <c r="I48" s="120">
        <f aca="true" t="shared" si="10" ref="I48:I53">ROUND(0.95*I38,4)</f>
        <v>0.1002</v>
      </c>
      <c r="J48" s="24">
        <f aca="true" t="shared" si="11" ref="J48:J53">ROUND(0.95*J38,0)</f>
        <v>0</v>
      </c>
      <c r="O48" s="281"/>
      <c r="P48" s="278"/>
      <c r="Q48" s="278"/>
      <c r="R48" s="278"/>
      <c r="S48" s="282"/>
    </row>
    <row r="49" spans="2:19" ht="11.25">
      <c r="B49" s="21">
        <v>2000</v>
      </c>
      <c r="C49" s="22">
        <f t="shared" si="6"/>
        <v>34.8</v>
      </c>
      <c r="D49" s="22">
        <f t="shared" si="7"/>
        <v>0.0935</v>
      </c>
      <c r="E49" s="22">
        <f t="shared" si="8"/>
        <v>-59</v>
      </c>
      <c r="F49" s="23"/>
      <c r="G49" s="22">
        <v>2000</v>
      </c>
      <c r="H49" s="22">
        <f t="shared" si="9"/>
        <v>19</v>
      </c>
      <c r="I49" s="120">
        <f t="shared" si="10"/>
        <v>0.0965</v>
      </c>
      <c r="J49" s="24">
        <f t="shared" si="11"/>
        <v>-32</v>
      </c>
      <c r="O49" s="281"/>
      <c r="P49" s="278"/>
      <c r="Q49" s="278"/>
      <c r="R49" s="278"/>
      <c r="S49" s="282"/>
    </row>
    <row r="50" spans="2:19" ht="11.25">
      <c r="B50" s="21">
        <v>10000</v>
      </c>
      <c r="C50" s="22">
        <f t="shared" si="6"/>
        <v>282.7</v>
      </c>
      <c r="D50" s="22">
        <f t="shared" si="7"/>
        <v>0.0482</v>
      </c>
      <c r="E50" s="22">
        <f t="shared" si="8"/>
        <v>-1613</v>
      </c>
      <c r="F50" s="23"/>
      <c r="G50" s="22">
        <v>10000</v>
      </c>
      <c r="H50" s="22">
        <f t="shared" si="9"/>
        <v>155</v>
      </c>
      <c r="I50" s="120">
        <f t="shared" si="10"/>
        <v>0.0717</v>
      </c>
      <c r="J50" s="24">
        <f t="shared" si="11"/>
        <v>-884</v>
      </c>
      <c r="O50" s="281"/>
      <c r="P50" s="278"/>
      <c r="Q50" s="278"/>
      <c r="R50" s="278"/>
      <c r="S50" s="282"/>
    </row>
    <row r="51" spans="2:19" ht="11.25">
      <c r="B51" s="21">
        <v>20000</v>
      </c>
      <c r="C51" s="22">
        <f t="shared" si="6"/>
        <v>422.4</v>
      </c>
      <c r="D51" s="22">
        <f t="shared" si="7"/>
        <v>0.0293</v>
      </c>
      <c r="E51" s="22">
        <f t="shared" si="8"/>
        <v>-2564</v>
      </c>
      <c r="F51" s="23"/>
      <c r="G51" s="22">
        <v>20000</v>
      </c>
      <c r="H51" s="22">
        <f t="shared" si="9"/>
        <v>231.5</v>
      </c>
      <c r="I51" s="120">
        <f t="shared" si="10"/>
        <v>0.0614</v>
      </c>
      <c r="J51" s="24">
        <f t="shared" si="11"/>
        <v>-1405</v>
      </c>
      <c r="O51" s="281"/>
      <c r="P51" s="278"/>
      <c r="Q51" s="278"/>
      <c r="R51" s="278"/>
      <c r="S51" s="282"/>
    </row>
    <row r="52" spans="2:19" ht="11.25">
      <c r="B52" s="21">
        <v>40000</v>
      </c>
      <c r="C52" s="22">
        <f t="shared" si="6"/>
        <v>596.1</v>
      </c>
      <c r="D52" s="22">
        <f t="shared" si="7"/>
        <v>-0.0112</v>
      </c>
      <c r="E52" s="22">
        <f t="shared" si="8"/>
        <v>-3780</v>
      </c>
      <c r="F52" s="23"/>
      <c r="G52" s="22">
        <v>40000</v>
      </c>
      <c r="H52" s="22">
        <f t="shared" si="9"/>
        <v>288</v>
      </c>
      <c r="I52" s="120">
        <f t="shared" si="10"/>
        <v>0.0586</v>
      </c>
      <c r="J52" s="29">
        <f t="shared" si="11"/>
        <v>-1818</v>
      </c>
      <c r="O52" s="281"/>
      <c r="P52" s="278"/>
      <c r="Q52" s="278"/>
      <c r="R52" s="278"/>
      <c r="S52" s="282"/>
    </row>
    <row r="53" spans="2:19" ht="11.25">
      <c r="B53" s="21">
        <v>80000</v>
      </c>
      <c r="C53" s="22">
        <f t="shared" si="6"/>
        <v>597.3</v>
      </c>
      <c r="D53" s="22">
        <f t="shared" si="7"/>
        <v>-0.0102</v>
      </c>
      <c r="E53" s="22">
        <f t="shared" si="8"/>
        <v>-3780</v>
      </c>
      <c r="F53" s="23"/>
      <c r="G53" s="22">
        <v>80000</v>
      </c>
      <c r="H53" s="22">
        <f t="shared" si="9"/>
        <v>280.8</v>
      </c>
      <c r="I53" s="120">
        <f t="shared" si="10"/>
        <v>0.0641</v>
      </c>
      <c r="J53" s="24">
        <f t="shared" si="11"/>
        <v>-1769</v>
      </c>
      <c r="O53" s="281"/>
      <c r="P53" s="278"/>
      <c r="Q53" s="278"/>
      <c r="R53" s="278"/>
      <c r="S53" s="282"/>
    </row>
    <row r="54" spans="2:19" ht="12" thickBot="1">
      <c r="B54" s="26"/>
      <c r="C54" s="27"/>
      <c r="D54" s="27"/>
      <c r="E54" s="27"/>
      <c r="F54" s="27"/>
      <c r="G54" s="27"/>
      <c r="H54" s="27"/>
      <c r="I54" s="27"/>
      <c r="J54" s="28"/>
      <c r="O54" s="283"/>
      <c r="P54" s="284"/>
      <c r="Q54" s="284"/>
      <c r="R54" s="284"/>
      <c r="S54" s="285"/>
    </row>
    <row r="55" ht="12" thickBot="1"/>
    <row r="56" spans="2:19" ht="11.25">
      <c r="B56" s="17" t="s">
        <v>128</v>
      </c>
      <c r="C56" s="18">
        <f>C46+1</f>
        <v>105</v>
      </c>
      <c r="D56" s="18">
        <v>0</v>
      </c>
      <c r="E56" s="18">
        <f>0.124</f>
        <v>0.124</v>
      </c>
      <c r="F56" s="19">
        <v>0</v>
      </c>
      <c r="G56" s="19">
        <f>1+G46</f>
        <v>105</v>
      </c>
      <c r="H56" s="18"/>
      <c r="I56" s="18">
        <v>0</v>
      </c>
      <c r="J56" s="20">
        <f>E56</f>
        <v>0.124</v>
      </c>
      <c r="L56" s="34">
        <f ca="1">OFFSET(RecognisedList,$G56+2,0)</f>
        <v>0</v>
      </c>
      <c r="M56" s="35">
        <f ca="1">OFFSET(RecognisedList,$G56+2,1)</f>
        <v>0</v>
      </c>
      <c r="O56" s="299">
        <v>0</v>
      </c>
      <c r="P56" s="279">
        <v>0</v>
      </c>
      <c r="Q56" s="279">
        <v>0</v>
      </c>
      <c r="R56" s="279">
        <v>0</v>
      </c>
      <c r="S56" s="280">
        <v>0</v>
      </c>
    </row>
    <row r="57" spans="2:19" ht="11.25">
      <c r="B57" s="21" t="s">
        <v>26</v>
      </c>
      <c r="C57" s="22" t="s">
        <v>11</v>
      </c>
      <c r="D57" s="22" t="s">
        <v>12</v>
      </c>
      <c r="E57" s="22" t="s">
        <v>81</v>
      </c>
      <c r="F57" s="23"/>
      <c r="G57" s="22" t="s">
        <v>26</v>
      </c>
      <c r="H57" s="22" t="s">
        <v>11</v>
      </c>
      <c r="I57" s="22" t="s">
        <v>12</v>
      </c>
      <c r="J57" s="24" t="s">
        <v>81</v>
      </c>
      <c r="L57" s="36">
        <f ca="1">OFFSET(RecognisedList,$G56+2,3)</f>
        <v>0</v>
      </c>
      <c r="M57" s="37">
        <f ca="1">OFFSET(RecognisedList,$G56+2,2)</f>
        <v>0</v>
      </c>
      <c r="O57" s="281"/>
      <c r="P57" s="278"/>
      <c r="Q57" s="278"/>
      <c r="R57" s="278"/>
      <c r="S57" s="282"/>
    </row>
    <row r="58" spans="2:19" ht="11.25">
      <c r="B58" s="21">
        <v>0</v>
      </c>
      <c r="C58" s="22">
        <v>0</v>
      </c>
      <c r="D58" s="22">
        <v>0.1363</v>
      </c>
      <c r="E58" s="22">
        <v>0</v>
      </c>
      <c r="F58" s="23"/>
      <c r="G58" s="22">
        <v>0</v>
      </c>
      <c r="H58" s="22">
        <v>0</v>
      </c>
      <c r="I58" s="120">
        <v>0.1363</v>
      </c>
      <c r="J58" s="24">
        <v>0</v>
      </c>
      <c r="O58" s="281"/>
      <c r="P58" s="278"/>
      <c r="Q58" s="278"/>
      <c r="R58" s="278"/>
      <c r="S58" s="282"/>
    </row>
    <row r="59" spans="2:19" ht="11.25">
      <c r="B59" s="21">
        <v>2000</v>
      </c>
      <c r="C59" s="22">
        <v>10</v>
      </c>
      <c r="D59" s="22">
        <v>0.1344</v>
      </c>
      <c r="E59" s="22">
        <v>25</v>
      </c>
      <c r="F59" s="23"/>
      <c r="G59" s="22">
        <v>2000</v>
      </c>
      <c r="H59" s="22">
        <v>5.5</v>
      </c>
      <c r="I59" s="120">
        <v>0.1353</v>
      </c>
      <c r="J59" s="24">
        <v>13.9</v>
      </c>
      <c r="O59" s="281"/>
      <c r="P59" s="278"/>
      <c r="Q59" s="278"/>
      <c r="R59" s="278"/>
      <c r="S59" s="282"/>
    </row>
    <row r="60" spans="2:19" ht="11.25">
      <c r="B60" s="21">
        <v>10000</v>
      </c>
      <c r="C60" s="22">
        <v>163.8</v>
      </c>
      <c r="D60" s="22">
        <v>0.1077</v>
      </c>
      <c r="E60" s="22">
        <v>-795</v>
      </c>
      <c r="F60" s="23"/>
      <c r="G60" s="22">
        <v>10000</v>
      </c>
      <c r="H60" s="22">
        <v>89.8</v>
      </c>
      <c r="I60" s="120">
        <v>0.1206</v>
      </c>
      <c r="J60" s="24">
        <v>-436</v>
      </c>
      <c r="O60" s="281"/>
      <c r="P60" s="278"/>
      <c r="Q60" s="278"/>
      <c r="R60" s="278"/>
      <c r="S60" s="282"/>
    </row>
    <row r="61" spans="2:19" ht="11.25">
      <c r="B61" s="21">
        <v>20000</v>
      </c>
      <c r="C61" s="22">
        <v>309.6</v>
      </c>
      <c r="D61" s="22">
        <v>0.11</v>
      </c>
      <c r="E61" s="22">
        <v>-1771</v>
      </c>
      <c r="F61" s="23"/>
      <c r="G61" s="22">
        <v>20000</v>
      </c>
      <c r="H61" s="22">
        <v>164.4</v>
      </c>
      <c r="I61" s="120">
        <v>0.124</v>
      </c>
      <c r="J61" s="24">
        <v>-935.4</v>
      </c>
      <c r="O61" s="281"/>
      <c r="P61" s="278"/>
      <c r="Q61" s="278"/>
      <c r="R61" s="278"/>
      <c r="S61" s="282"/>
    </row>
    <row r="62" spans="2:19" ht="11.25">
      <c r="B62" s="21">
        <v>40000</v>
      </c>
      <c r="C62" s="22">
        <v>617.2</v>
      </c>
      <c r="D62" s="22">
        <v>0.0249</v>
      </c>
      <c r="E62" s="25">
        <v>-3860</v>
      </c>
      <c r="F62" s="23"/>
      <c r="G62" s="22">
        <v>40000</v>
      </c>
      <c r="H62" s="22">
        <v>282.8</v>
      </c>
      <c r="I62" s="120">
        <v>0.1102</v>
      </c>
      <c r="J62" s="29">
        <v>-1764.1</v>
      </c>
      <c r="O62" s="281"/>
      <c r="P62" s="278"/>
      <c r="Q62" s="278"/>
      <c r="R62" s="278"/>
      <c r="S62" s="282"/>
    </row>
    <row r="63" spans="2:19" ht="11.25">
      <c r="B63" s="21">
        <v>80000</v>
      </c>
      <c r="C63" s="22">
        <v>593.2</v>
      </c>
      <c r="D63" s="22">
        <v>0.056</v>
      </c>
      <c r="E63" s="22">
        <v>-3723</v>
      </c>
      <c r="F63" s="23"/>
      <c r="G63" s="22">
        <v>80000</v>
      </c>
      <c r="H63" s="22">
        <v>255.8</v>
      </c>
      <c r="I63" s="120">
        <v>0.1443</v>
      </c>
      <c r="J63" s="24">
        <v>-1615</v>
      </c>
      <c r="O63" s="281"/>
      <c r="P63" s="278"/>
      <c r="Q63" s="278"/>
      <c r="R63" s="278"/>
      <c r="S63" s="282"/>
    </row>
    <row r="64" spans="2:19" ht="12" thickBot="1">
      <c r="B64" s="26"/>
      <c r="C64" s="27"/>
      <c r="D64" s="27"/>
      <c r="E64" s="27"/>
      <c r="F64" s="27"/>
      <c r="G64" s="27"/>
      <c r="H64" s="27"/>
      <c r="I64" s="27"/>
      <c r="J64" s="28"/>
      <c r="O64" s="283"/>
      <c r="P64" s="284"/>
      <c r="Q64" s="284"/>
      <c r="R64" s="284"/>
      <c r="S64" s="285"/>
    </row>
    <row r="65" ht="12" thickBot="1"/>
    <row r="66" spans="2:19" ht="11.25">
      <c r="B66" s="17" t="s">
        <v>128</v>
      </c>
      <c r="C66" s="18">
        <f>C56+1</f>
        <v>106</v>
      </c>
      <c r="D66" s="18">
        <v>0</v>
      </c>
      <c r="E66" s="18">
        <f>ROUND(E56*0.95,4)</f>
        <v>0.1178</v>
      </c>
      <c r="F66" s="19">
        <v>0</v>
      </c>
      <c r="G66" s="18">
        <f>1+G56</f>
        <v>106</v>
      </c>
      <c r="H66" s="18"/>
      <c r="I66" s="18">
        <v>0</v>
      </c>
      <c r="J66" s="20">
        <f>E66</f>
        <v>0.1178</v>
      </c>
      <c r="L66" s="34">
        <f ca="1">OFFSET(RecognisedList,$G66+2,0)</f>
        <v>0</v>
      </c>
      <c r="M66" s="35">
        <f ca="1">OFFSET(RecognisedList,$G66+2,1)</f>
        <v>0</v>
      </c>
      <c r="O66" s="299">
        <v>0</v>
      </c>
      <c r="P66" s="279">
        <v>0</v>
      </c>
      <c r="Q66" s="279">
        <v>0</v>
      </c>
      <c r="R66" s="279">
        <v>0</v>
      </c>
      <c r="S66" s="280">
        <v>0</v>
      </c>
    </row>
    <row r="67" spans="2:19" ht="11.25">
      <c r="B67" s="21" t="s">
        <v>26</v>
      </c>
      <c r="C67" s="22" t="s">
        <v>11</v>
      </c>
      <c r="D67" s="22" t="s">
        <v>12</v>
      </c>
      <c r="E67" s="22" t="s">
        <v>81</v>
      </c>
      <c r="F67" s="23"/>
      <c r="G67" s="22" t="s">
        <v>26</v>
      </c>
      <c r="H67" s="22" t="s">
        <v>11</v>
      </c>
      <c r="I67" s="22" t="s">
        <v>12</v>
      </c>
      <c r="J67" s="24" t="s">
        <v>81</v>
      </c>
      <c r="L67" s="36">
        <f ca="1">OFFSET(RecognisedList,$G66+2,3)</f>
        <v>0</v>
      </c>
      <c r="M67" s="37">
        <f ca="1">OFFSET(RecognisedList,$G66+2,2)</f>
        <v>0</v>
      </c>
      <c r="O67" s="281"/>
      <c r="P67" s="278"/>
      <c r="Q67" s="278"/>
      <c r="R67" s="278"/>
      <c r="S67" s="282"/>
    </row>
    <row r="68" spans="2:19" ht="11.25">
      <c r="B68" s="21">
        <v>0</v>
      </c>
      <c r="C68" s="22">
        <f aca="true" t="shared" si="12" ref="C68:C73">ROUND(0.95*C58,1)</f>
        <v>0</v>
      </c>
      <c r="D68" s="22">
        <f aca="true" t="shared" si="13" ref="D68:D73">ROUND(0.95*D58,4)</f>
        <v>0.1295</v>
      </c>
      <c r="E68" s="22">
        <f aca="true" t="shared" si="14" ref="E68:E73">ROUND(0.95*E58,0)</f>
        <v>0</v>
      </c>
      <c r="F68" s="23"/>
      <c r="G68" s="22">
        <v>0</v>
      </c>
      <c r="H68" s="22">
        <f aca="true" t="shared" si="15" ref="H68:H73">ROUND(0.95*H58,1)</f>
        <v>0</v>
      </c>
      <c r="I68" s="120">
        <f aca="true" t="shared" si="16" ref="I68:I73">ROUND(0.95*I58,4)</f>
        <v>0.1295</v>
      </c>
      <c r="J68" s="24">
        <f aca="true" t="shared" si="17" ref="J68:J73">ROUND(0.95*J58,0)</f>
        <v>0</v>
      </c>
      <c r="O68" s="281"/>
      <c r="P68" s="278"/>
      <c r="Q68" s="278"/>
      <c r="R68" s="278"/>
      <c r="S68" s="282"/>
    </row>
    <row r="69" spans="2:19" ht="11.25">
      <c r="B69" s="21">
        <v>2000</v>
      </c>
      <c r="C69" s="22">
        <f t="shared" si="12"/>
        <v>9.5</v>
      </c>
      <c r="D69" s="22">
        <f t="shared" si="13"/>
        <v>0.1277</v>
      </c>
      <c r="E69" s="22">
        <f t="shared" si="14"/>
        <v>24</v>
      </c>
      <c r="F69" s="23"/>
      <c r="G69" s="22">
        <v>2000</v>
      </c>
      <c r="H69" s="22">
        <f t="shared" si="15"/>
        <v>5.2</v>
      </c>
      <c r="I69" s="120">
        <f t="shared" si="16"/>
        <v>0.1285</v>
      </c>
      <c r="J69" s="24">
        <f t="shared" si="17"/>
        <v>13</v>
      </c>
      <c r="O69" s="281"/>
      <c r="P69" s="278"/>
      <c r="Q69" s="278"/>
      <c r="R69" s="278"/>
      <c r="S69" s="282"/>
    </row>
    <row r="70" spans="2:19" ht="11.25">
      <c r="B70" s="21">
        <v>10000</v>
      </c>
      <c r="C70" s="22">
        <f t="shared" si="12"/>
        <v>155.6</v>
      </c>
      <c r="D70" s="22">
        <f t="shared" si="13"/>
        <v>0.1023</v>
      </c>
      <c r="E70" s="22">
        <f t="shared" si="14"/>
        <v>-755</v>
      </c>
      <c r="F70" s="23"/>
      <c r="G70" s="22">
        <v>10000</v>
      </c>
      <c r="H70" s="22">
        <f t="shared" si="15"/>
        <v>85.3</v>
      </c>
      <c r="I70" s="120">
        <f t="shared" si="16"/>
        <v>0.1146</v>
      </c>
      <c r="J70" s="24">
        <f t="shared" si="17"/>
        <v>-414</v>
      </c>
      <c r="O70" s="281"/>
      <c r="P70" s="278"/>
      <c r="Q70" s="278"/>
      <c r="R70" s="278"/>
      <c r="S70" s="282"/>
    </row>
    <row r="71" spans="2:19" ht="11.25">
      <c r="B71" s="21">
        <v>20000</v>
      </c>
      <c r="C71" s="22">
        <f t="shared" si="12"/>
        <v>294.1</v>
      </c>
      <c r="D71" s="22">
        <f t="shared" si="13"/>
        <v>0.1045</v>
      </c>
      <c r="E71" s="22">
        <f t="shared" si="14"/>
        <v>-1682</v>
      </c>
      <c r="F71" s="23"/>
      <c r="G71" s="22">
        <v>20000</v>
      </c>
      <c r="H71" s="22">
        <f t="shared" si="15"/>
        <v>156.2</v>
      </c>
      <c r="I71" s="120">
        <f t="shared" si="16"/>
        <v>0.1178</v>
      </c>
      <c r="J71" s="24">
        <f t="shared" si="17"/>
        <v>-889</v>
      </c>
      <c r="O71" s="281"/>
      <c r="P71" s="278"/>
      <c r="Q71" s="278"/>
      <c r="R71" s="278"/>
      <c r="S71" s="282"/>
    </row>
    <row r="72" spans="2:19" ht="11.25">
      <c r="B72" s="21">
        <v>40000</v>
      </c>
      <c r="C72" s="22">
        <f t="shared" si="12"/>
        <v>586.3</v>
      </c>
      <c r="D72" s="22">
        <f t="shared" si="13"/>
        <v>0.0237</v>
      </c>
      <c r="E72" s="22">
        <f t="shared" si="14"/>
        <v>-3667</v>
      </c>
      <c r="F72" s="23"/>
      <c r="G72" s="22">
        <v>40000</v>
      </c>
      <c r="H72" s="22">
        <f t="shared" si="15"/>
        <v>268.7</v>
      </c>
      <c r="I72" s="120">
        <f t="shared" si="16"/>
        <v>0.1047</v>
      </c>
      <c r="J72" s="29">
        <f t="shared" si="17"/>
        <v>-1676</v>
      </c>
      <c r="O72" s="281"/>
      <c r="P72" s="278"/>
      <c r="Q72" s="278"/>
      <c r="R72" s="278"/>
      <c r="S72" s="282"/>
    </row>
    <row r="73" spans="2:19" ht="11.25">
      <c r="B73" s="21">
        <v>80000</v>
      </c>
      <c r="C73" s="22">
        <f t="shared" si="12"/>
        <v>563.5</v>
      </c>
      <c r="D73" s="22">
        <f t="shared" si="13"/>
        <v>0.0532</v>
      </c>
      <c r="E73" s="22">
        <f t="shared" si="14"/>
        <v>-3537</v>
      </c>
      <c r="F73" s="23"/>
      <c r="G73" s="22">
        <v>80000</v>
      </c>
      <c r="H73" s="22">
        <f t="shared" si="15"/>
        <v>243</v>
      </c>
      <c r="I73" s="120">
        <f t="shared" si="16"/>
        <v>0.1371</v>
      </c>
      <c r="J73" s="24">
        <f t="shared" si="17"/>
        <v>-1534</v>
      </c>
      <c r="O73" s="281"/>
      <c r="P73" s="278"/>
      <c r="Q73" s="278"/>
      <c r="R73" s="278"/>
      <c r="S73" s="282"/>
    </row>
    <row r="74" spans="2:19" ht="12" thickBot="1">
      <c r="B74" s="26"/>
      <c r="C74" s="27"/>
      <c r="D74" s="27"/>
      <c r="E74" s="27"/>
      <c r="F74" s="27"/>
      <c r="G74" s="27"/>
      <c r="H74" s="27"/>
      <c r="I74" s="27"/>
      <c r="J74" s="28"/>
      <c r="O74" s="283"/>
      <c r="P74" s="284"/>
      <c r="Q74" s="284"/>
      <c r="R74" s="284"/>
      <c r="S74" s="285"/>
    </row>
    <row r="75" ht="12" thickBot="1"/>
    <row r="76" spans="2:19" ht="11.25">
      <c r="B76" s="17" t="s">
        <v>347</v>
      </c>
      <c r="C76" s="18">
        <f>C66+1</f>
        <v>107</v>
      </c>
      <c r="D76" s="18">
        <v>0.6</v>
      </c>
      <c r="E76" s="18">
        <v>0.072</v>
      </c>
      <c r="F76" s="19">
        <v>24</v>
      </c>
      <c r="G76" s="19">
        <f>1+G66</f>
        <v>107</v>
      </c>
      <c r="H76" s="18"/>
      <c r="I76" s="18">
        <v>0.6</v>
      </c>
      <c r="J76" s="20">
        <f>E76</f>
        <v>0.072</v>
      </c>
      <c r="L76" s="34">
        <f ca="1">OFFSET(RecognisedList,$G76+2,0)</f>
        <v>0</v>
      </c>
      <c r="M76" s="35">
        <f ca="1">OFFSET(RecognisedList,$G76+2,1)</f>
        <v>0</v>
      </c>
      <c r="O76" s="299">
        <v>0</v>
      </c>
      <c r="P76" s="279">
        <v>0</v>
      </c>
      <c r="Q76" s="279">
        <v>0</v>
      </c>
      <c r="R76" s="279">
        <v>0</v>
      </c>
      <c r="S76" s="280">
        <v>0</v>
      </c>
    </row>
    <row r="77" spans="2:19" ht="11.25">
      <c r="B77" s="21" t="s">
        <v>26</v>
      </c>
      <c r="C77" s="22" t="s">
        <v>11</v>
      </c>
      <c r="D77" s="22" t="s">
        <v>12</v>
      </c>
      <c r="E77" s="22" t="s">
        <v>81</v>
      </c>
      <c r="F77" s="23"/>
      <c r="G77" s="22" t="s">
        <v>26</v>
      </c>
      <c r="H77" s="22" t="s">
        <v>11</v>
      </c>
      <c r="I77" s="22" t="s">
        <v>12</v>
      </c>
      <c r="J77" s="24" t="s">
        <v>81</v>
      </c>
      <c r="L77" s="36">
        <f ca="1">OFFSET(RecognisedList,$G76+2,3)</f>
        <v>0</v>
      </c>
      <c r="M77" s="37">
        <f ca="1">OFFSET(RecognisedList,$G76+2,2)</f>
        <v>0</v>
      </c>
      <c r="O77" s="281"/>
      <c r="P77" s="278"/>
      <c r="Q77" s="278"/>
      <c r="R77" s="278"/>
      <c r="S77" s="282"/>
    </row>
    <row r="78" spans="2:19" ht="11.25">
      <c r="B78" s="21">
        <v>0</v>
      </c>
      <c r="C78" s="22">
        <v>1.9</v>
      </c>
      <c r="D78" s="22">
        <v>0.0785</v>
      </c>
      <c r="E78" s="22">
        <v>0</v>
      </c>
      <c r="F78" s="23"/>
      <c r="G78" s="22">
        <v>0</v>
      </c>
      <c r="H78" s="22">
        <v>1.9</v>
      </c>
      <c r="I78" s="120">
        <v>0.0785</v>
      </c>
      <c r="J78" s="24">
        <v>0</v>
      </c>
      <c r="O78" s="281"/>
      <c r="P78" s="278"/>
      <c r="Q78" s="278"/>
      <c r="R78" s="278"/>
      <c r="S78" s="282"/>
    </row>
    <row r="79" spans="2:19" ht="11.25">
      <c r="B79" s="21">
        <v>2000</v>
      </c>
      <c r="C79" s="22">
        <v>7.5</v>
      </c>
      <c r="D79" s="22">
        <v>0.0765</v>
      </c>
      <c r="E79" s="22">
        <v>28</v>
      </c>
      <c r="F79" s="23"/>
      <c r="G79" s="22">
        <v>2000</v>
      </c>
      <c r="H79" s="22">
        <v>7.5</v>
      </c>
      <c r="I79" s="120">
        <v>0.0765</v>
      </c>
      <c r="J79" s="24">
        <v>28</v>
      </c>
      <c r="O79" s="281"/>
      <c r="P79" s="278"/>
      <c r="Q79" s="278"/>
      <c r="R79" s="278"/>
      <c r="S79" s="282"/>
    </row>
    <row r="80" spans="2:19" ht="11.25">
      <c r="B80" s="21">
        <v>10000</v>
      </c>
      <c r="C80" s="22">
        <v>87.4</v>
      </c>
      <c r="D80" s="22">
        <v>0.0657</v>
      </c>
      <c r="E80" s="22">
        <v>-350</v>
      </c>
      <c r="F80" s="23"/>
      <c r="G80" s="22">
        <v>10000</v>
      </c>
      <c r="H80" s="22">
        <v>87.4</v>
      </c>
      <c r="I80" s="120">
        <v>0.0657</v>
      </c>
      <c r="J80" s="24">
        <v>-350</v>
      </c>
      <c r="O80" s="281"/>
      <c r="P80" s="278"/>
      <c r="Q80" s="278"/>
      <c r="R80" s="278"/>
      <c r="S80" s="282"/>
    </row>
    <row r="81" spans="2:19" ht="11.25">
      <c r="B81" s="21">
        <v>20000</v>
      </c>
      <c r="C81" s="22">
        <v>196</v>
      </c>
      <c r="D81" s="22">
        <v>0.0507</v>
      </c>
      <c r="E81" s="22">
        <v>-1017</v>
      </c>
      <c r="F81" s="23"/>
      <c r="G81" s="22">
        <v>20000</v>
      </c>
      <c r="H81" s="22">
        <v>196</v>
      </c>
      <c r="I81" s="120">
        <v>0.0507</v>
      </c>
      <c r="J81" s="24">
        <v>-1017</v>
      </c>
      <c r="O81" s="281"/>
      <c r="P81" s="278"/>
      <c r="Q81" s="278"/>
      <c r="R81" s="278"/>
      <c r="S81" s="282"/>
    </row>
    <row r="82" spans="2:19" ht="11.25">
      <c r="B82" s="21">
        <v>40000</v>
      </c>
      <c r="C82" s="22">
        <v>319.1</v>
      </c>
      <c r="D82" s="22">
        <v>0.0389</v>
      </c>
      <c r="E82" s="25">
        <v>-1820</v>
      </c>
      <c r="F82" s="23"/>
      <c r="G82" s="22">
        <v>40000</v>
      </c>
      <c r="H82" s="22">
        <v>319.1</v>
      </c>
      <c r="I82" s="120">
        <v>0.0389</v>
      </c>
      <c r="J82" s="29">
        <v>-1820</v>
      </c>
      <c r="O82" s="281"/>
      <c r="P82" s="278"/>
      <c r="Q82" s="278"/>
      <c r="R82" s="278"/>
      <c r="S82" s="282"/>
    </row>
    <row r="83" spans="2:19" ht="11.25">
      <c r="B83" s="21">
        <v>80000</v>
      </c>
      <c r="C83" s="22">
        <v>405.4</v>
      </c>
      <c r="D83" s="22">
        <v>0.0457</v>
      </c>
      <c r="E83" s="22">
        <v>-2426</v>
      </c>
      <c r="F83" s="23"/>
      <c r="G83" s="22">
        <v>80000</v>
      </c>
      <c r="H83" s="22">
        <v>405.4</v>
      </c>
      <c r="I83" s="120">
        <v>0.0457</v>
      </c>
      <c r="J83" s="24">
        <v>-2426</v>
      </c>
      <c r="O83" s="281"/>
      <c r="P83" s="278"/>
      <c r="Q83" s="278"/>
      <c r="R83" s="278"/>
      <c r="S83" s="282"/>
    </row>
    <row r="84" spans="2:19" ht="12" thickBot="1">
      <c r="B84" s="26"/>
      <c r="C84" s="27"/>
      <c r="D84" s="27"/>
      <c r="E84" s="27"/>
      <c r="F84" s="27"/>
      <c r="G84" s="27"/>
      <c r="H84" s="27"/>
      <c r="I84" s="27"/>
      <c r="J84" s="28"/>
      <c r="O84" s="283"/>
      <c r="P84" s="284"/>
      <c r="Q84" s="284"/>
      <c r="R84" s="284"/>
      <c r="S84" s="285"/>
    </row>
    <row r="85" ht="12" thickBot="1"/>
    <row r="86" spans="2:19" ht="11.25">
      <c r="B86" s="17" t="s">
        <v>346</v>
      </c>
      <c r="C86" s="18">
        <f>C76+1</f>
        <v>108</v>
      </c>
      <c r="D86" s="18">
        <v>0.6</v>
      </c>
      <c r="E86" s="18">
        <f>ROUND(E76*0.95,4)</f>
        <v>0.0684</v>
      </c>
      <c r="F86" s="19">
        <v>24</v>
      </c>
      <c r="G86" s="19">
        <f>1+G76</f>
        <v>108</v>
      </c>
      <c r="H86" s="18"/>
      <c r="I86" s="18">
        <v>0.6</v>
      </c>
      <c r="J86" s="20">
        <f>E86</f>
        <v>0.0684</v>
      </c>
      <c r="L86" s="34">
        <f ca="1">OFFSET(RecognisedList,$G86+2,0)</f>
        <v>0</v>
      </c>
      <c r="M86" s="35">
        <f ca="1">OFFSET(RecognisedList,$G86+2,1)</f>
        <v>0</v>
      </c>
      <c r="O86" s="299">
        <v>0</v>
      </c>
      <c r="P86" s="279">
        <v>0</v>
      </c>
      <c r="Q86" s="279">
        <v>0</v>
      </c>
      <c r="R86" s="279">
        <v>0</v>
      </c>
      <c r="S86" s="280">
        <v>0</v>
      </c>
    </row>
    <row r="87" spans="2:19" ht="11.25">
      <c r="B87" s="21" t="s">
        <v>26</v>
      </c>
      <c r="C87" s="22" t="s">
        <v>11</v>
      </c>
      <c r="D87" s="22" t="s">
        <v>12</v>
      </c>
      <c r="E87" s="22" t="s">
        <v>81</v>
      </c>
      <c r="F87" s="23"/>
      <c r="G87" s="22" t="s">
        <v>26</v>
      </c>
      <c r="H87" s="22" t="s">
        <v>11</v>
      </c>
      <c r="I87" s="22" t="s">
        <v>12</v>
      </c>
      <c r="J87" s="24" t="s">
        <v>81</v>
      </c>
      <c r="L87" s="36">
        <f ca="1">OFFSET(RecognisedList,$G86+2,3)</f>
        <v>0</v>
      </c>
      <c r="M87" s="37">
        <f ca="1">OFFSET(RecognisedList,$G86+2,2)</f>
        <v>0</v>
      </c>
      <c r="O87" s="281"/>
      <c r="P87" s="278"/>
      <c r="Q87" s="278"/>
      <c r="R87" s="278"/>
      <c r="S87" s="282"/>
    </row>
    <row r="88" spans="2:19" ht="11.25">
      <c r="B88" s="21">
        <v>0</v>
      </c>
      <c r="C88" s="22">
        <f aca="true" t="shared" si="18" ref="C88:C93">ROUND(0.95*C78,1)</f>
        <v>1.8</v>
      </c>
      <c r="D88" s="22">
        <f aca="true" t="shared" si="19" ref="D88:D93">ROUND(0.95*D78,4)</f>
        <v>0.0746</v>
      </c>
      <c r="E88" s="22">
        <f aca="true" t="shared" si="20" ref="E88:E93">ROUND(0.95*E78,0)</f>
        <v>0</v>
      </c>
      <c r="F88" s="23"/>
      <c r="G88" s="22">
        <v>0</v>
      </c>
      <c r="H88" s="22">
        <f aca="true" t="shared" si="21" ref="H88:H93">ROUND(0.95*H78,1)</f>
        <v>1.8</v>
      </c>
      <c r="I88" s="120">
        <f aca="true" t="shared" si="22" ref="I88:I93">ROUND(0.95*I78,4)</f>
        <v>0.0746</v>
      </c>
      <c r="J88" s="24">
        <f aca="true" t="shared" si="23" ref="J88:J93">ROUND(0.95*J78,0)</f>
        <v>0</v>
      </c>
      <c r="O88" s="281"/>
      <c r="P88" s="278"/>
      <c r="Q88" s="278"/>
      <c r="R88" s="278"/>
      <c r="S88" s="282"/>
    </row>
    <row r="89" spans="2:19" ht="11.25">
      <c r="B89" s="21">
        <v>2000</v>
      </c>
      <c r="C89" s="22">
        <f t="shared" si="18"/>
        <v>7.1</v>
      </c>
      <c r="D89" s="22">
        <f t="shared" si="19"/>
        <v>0.0727</v>
      </c>
      <c r="E89" s="22">
        <f t="shared" si="20"/>
        <v>27</v>
      </c>
      <c r="F89" s="23"/>
      <c r="G89" s="22">
        <v>2000</v>
      </c>
      <c r="H89" s="22">
        <f t="shared" si="21"/>
        <v>7.1</v>
      </c>
      <c r="I89" s="120">
        <f t="shared" si="22"/>
        <v>0.0727</v>
      </c>
      <c r="J89" s="24">
        <f t="shared" si="23"/>
        <v>27</v>
      </c>
      <c r="O89" s="281"/>
      <c r="P89" s="278"/>
      <c r="Q89" s="278"/>
      <c r="R89" s="278"/>
      <c r="S89" s="282"/>
    </row>
    <row r="90" spans="2:19" ht="11.25">
      <c r="B90" s="21">
        <v>10000</v>
      </c>
      <c r="C90" s="22">
        <f t="shared" si="18"/>
        <v>83</v>
      </c>
      <c r="D90" s="22">
        <f t="shared" si="19"/>
        <v>0.0624</v>
      </c>
      <c r="E90" s="22">
        <f t="shared" si="20"/>
        <v>-333</v>
      </c>
      <c r="F90" s="23"/>
      <c r="G90" s="22">
        <v>10000</v>
      </c>
      <c r="H90" s="22">
        <f t="shared" si="21"/>
        <v>83</v>
      </c>
      <c r="I90" s="120">
        <f t="shared" si="22"/>
        <v>0.0624</v>
      </c>
      <c r="J90" s="24">
        <f t="shared" si="23"/>
        <v>-333</v>
      </c>
      <c r="O90" s="281"/>
      <c r="P90" s="278"/>
      <c r="Q90" s="278"/>
      <c r="R90" s="278"/>
      <c r="S90" s="282"/>
    </row>
    <row r="91" spans="2:19" ht="11.25">
      <c r="B91" s="21">
        <v>20000</v>
      </c>
      <c r="C91" s="22">
        <f t="shared" si="18"/>
        <v>186.2</v>
      </c>
      <c r="D91" s="22">
        <f t="shared" si="19"/>
        <v>0.0482</v>
      </c>
      <c r="E91" s="22">
        <f t="shared" si="20"/>
        <v>-966</v>
      </c>
      <c r="F91" s="23"/>
      <c r="G91" s="22">
        <v>20000</v>
      </c>
      <c r="H91" s="22">
        <f t="shared" si="21"/>
        <v>186.2</v>
      </c>
      <c r="I91" s="120">
        <f t="shared" si="22"/>
        <v>0.0482</v>
      </c>
      <c r="J91" s="24">
        <f t="shared" si="23"/>
        <v>-966</v>
      </c>
      <c r="O91" s="281"/>
      <c r="P91" s="278"/>
      <c r="Q91" s="278"/>
      <c r="R91" s="278"/>
      <c r="S91" s="282"/>
    </row>
    <row r="92" spans="2:19" ht="11.25">
      <c r="B92" s="21">
        <v>40000</v>
      </c>
      <c r="C92" s="22">
        <f t="shared" si="18"/>
        <v>303.1</v>
      </c>
      <c r="D92" s="22">
        <f t="shared" si="19"/>
        <v>0.037</v>
      </c>
      <c r="E92" s="22">
        <f t="shared" si="20"/>
        <v>-1729</v>
      </c>
      <c r="F92" s="23"/>
      <c r="G92" s="22">
        <v>40000</v>
      </c>
      <c r="H92" s="22">
        <f t="shared" si="21"/>
        <v>303.1</v>
      </c>
      <c r="I92" s="120">
        <f t="shared" si="22"/>
        <v>0.037</v>
      </c>
      <c r="J92" s="29">
        <f t="shared" si="23"/>
        <v>-1729</v>
      </c>
      <c r="O92" s="281"/>
      <c r="P92" s="278"/>
      <c r="Q92" s="278"/>
      <c r="R92" s="278"/>
      <c r="S92" s="282"/>
    </row>
    <row r="93" spans="2:19" ht="11.25">
      <c r="B93" s="21">
        <v>80000</v>
      </c>
      <c r="C93" s="22">
        <f t="shared" si="18"/>
        <v>385.1</v>
      </c>
      <c r="D93" s="22">
        <f t="shared" si="19"/>
        <v>0.0434</v>
      </c>
      <c r="E93" s="22">
        <f t="shared" si="20"/>
        <v>-2305</v>
      </c>
      <c r="F93" s="23"/>
      <c r="G93" s="22">
        <v>80000</v>
      </c>
      <c r="H93" s="22">
        <f t="shared" si="21"/>
        <v>385.1</v>
      </c>
      <c r="I93" s="120">
        <f t="shared" si="22"/>
        <v>0.0434</v>
      </c>
      <c r="J93" s="24">
        <f t="shared" si="23"/>
        <v>-2305</v>
      </c>
      <c r="O93" s="281"/>
      <c r="P93" s="278"/>
      <c r="Q93" s="278"/>
      <c r="R93" s="278"/>
      <c r="S93" s="282"/>
    </row>
    <row r="94" spans="2:19" ht="12" thickBot="1">
      <c r="B94" s="26"/>
      <c r="C94" s="27"/>
      <c r="D94" s="27"/>
      <c r="E94" s="27"/>
      <c r="F94" s="27"/>
      <c r="G94" s="27"/>
      <c r="H94" s="27"/>
      <c r="I94" s="27"/>
      <c r="J94" s="28"/>
      <c r="O94" s="283"/>
      <c r="P94" s="284"/>
      <c r="Q94" s="284"/>
      <c r="R94" s="284"/>
      <c r="S94" s="285"/>
    </row>
    <row r="95" ht="12" thickBot="1"/>
    <row r="96" spans="2:19" ht="11.25">
      <c r="B96" s="17" t="s">
        <v>345</v>
      </c>
      <c r="C96" s="18">
        <f>C86+1</f>
        <v>109</v>
      </c>
      <c r="D96" s="18">
        <v>1.1</v>
      </c>
      <c r="E96" s="18">
        <v>0.072</v>
      </c>
      <c r="F96" s="19">
        <v>50</v>
      </c>
      <c r="G96" s="19">
        <f>1+G86</f>
        <v>109</v>
      </c>
      <c r="H96" s="18"/>
      <c r="I96" s="18">
        <v>1.1</v>
      </c>
      <c r="J96" s="20">
        <f>E96</f>
        <v>0.072</v>
      </c>
      <c r="L96" s="34">
        <f ca="1">OFFSET(RecognisedList,$G96+2,0)</f>
        <v>0</v>
      </c>
      <c r="M96" s="35">
        <f ca="1">OFFSET(RecognisedList,$G96+2,1)</f>
        <v>0</v>
      </c>
      <c r="O96" s="299">
        <v>0</v>
      </c>
      <c r="P96" s="279">
        <v>0</v>
      </c>
      <c r="Q96" s="279">
        <v>0</v>
      </c>
      <c r="R96" s="279">
        <v>0</v>
      </c>
      <c r="S96" s="280">
        <v>0</v>
      </c>
    </row>
    <row r="97" spans="2:19" ht="11.25">
      <c r="B97" s="21" t="s">
        <v>26</v>
      </c>
      <c r="C97" s="22" t="s">
        <v>11</v>
      </c>
      <c r="D97" s="22" t="s">
        <v>12</v>
      </c>
      <c r="E97" s="22" t="s">
        <v>81</v>
      </c>
      <c r="F97" s="23"/>
      <c r="G97" s="22" t="s">
        <v>26</v>
      </c>
      <c r="H97" s="22" t="s">
        <v>11</v>
      </c>
      <c r="I97" s="22" t="s">
        <v>12</v>
      </c>
      <c r="J97" s="24" t="s">
        <v>81</v>
      </c>
      <c r="L97" s="36">
        <f ca="1">OFFSET(RecognisedList,$G96+2,3)</f>
        <v>0</v>
      </c>
      <c r="M97" s="37">
        <f ca="1">OFFSET(RecognisedList,$G96+2,2)</f>
        <v>0</v>
      </c>
      <c r="O97" s="281"/>
      <c r="P97" s="278"/>
      <c r="Q97" s="278"/>
      <c r="R97" s="278"/>
      <c r="S97" s="282"/>
    </row>
    <row r="98" spans="2:19" ht="11.25">
      <c r="B98" s="21">
        <v>0</v>
      </c>
      <c r="C98" s="22">
        <v>1.9</v>
      </c>
      <c r="D98" s="22">
        <v>0.0785</v>
      </c>
      <c r="E98" s="22">
        <v>0</v>
      </c>
      <c r="F98" s="23"/>
      <c r="G98" s="22">
        <v>0</v>
      </c>
      <c r="H98" s="22">
        <v>1.9</v>
      </c>
      <c r="I98" s="120">
        <v>0.0785</v>
      </c>
      <c r="J98" s="24">
        <v>0</v>
      </c>
      <c r="O98" s="281"/>
      <c r="P98" s="278"/>
      <c r="Q98" s="278"/>
      <c r="R98" s="278"/>
      <c r="S98" s="282"/>
    </row>
    <row r="99" spans="2:19" ht="11.25">
      <c r="B99" s="21">
        <v>2000</v>
      </c>
      <c r="C99" s="22">
        <v>7.5</v>
      </c>
      <c r="D99" s="22">
        <v>0.0765</v>
      </c>
      <c r="E99" s="22">
        <v>28</v>
      </c>
      <c r="F99" s="23"/>
      <c r="G99" s="22">
        <v>2000</v>
      </c>
      <c r="H99" s="22">
        <v>7.5</v>
      </c>
      <c r="I99" s="120">
        <v>0.0765</v>
      </c>
      <c r="J99" s="24">
        <v>28</v>
      </c>
      <c r="O99" s="281"/>
      <c r="P99" s="278"/>
      <c r="Q99" s="278"/>
      <c r="R99" s="278"/>
      <c r="S99" s="282"/>
    </row>
    <row r="100" spans="2:19" ht="11.25">
      <c r="B100" s="21">
        <v>10000</v>
      </c>
      <c r="C100" s="22">
        <v>87.4</v>
      </c>
      <c r="D100" s="22">
        <v>0.0657</v>
      </c>
      <c r="E100" s="22">
        <v>-350</v>
      </c>
      <c r="F100" s="23"/>
      <c r="G100" s="22">
        <v>10000</v>
      </c>
      <c r="H100" s="22">
        <v>87.4</v>
      </c>
      <c r="I100" s="120">
        <v>0.0657</v>
      </c>
      <c r="J100" s="24">
        <v>-350</v>
      </c>
      <c r="O100" s="281"/>
      <c r="P100" s="278"/>
      <c r="Q100" s="278"/>
      <c r="R100" s="278"/>
      <c r="S100" s="282"/>
    </row>
    <row r="101" spans="2:19" ht="11.25">
      <c r="B101" s="21">
        <v>20000</v>
      </c>
      <c r="C101" s="22">
        <v>196</v>
      </c>
      <c r="D101" s="22">
        <v>0.0507</v>
      </c>
      <c r="E101" s="22">
        <v>-1017</v>
      </c>
      <c r="F101" s="23"/>
      <c r="G101" s="22">
        <v>20000</v>
      </c>
      <c r="H101" s="22">
        <v>196</v>
      </c>
      <c r="I101" s="120">
        <v>0.0507</v>
      </c>
      <c r="J101" s="24">
        <v>-1017</v>
      </c>
      <c r="O101" s="281"/>
      <c r="P101" s="278"/>
      <c r="Q101" s="278"/>
      <c r="R101" s="278"/>
      <c r="S101" s="282"/>
    </row>
    <row r="102" spans="2:19" ht="11.25">
      <c r="B102" s="21">
        <v>40000</v>
      </c>
      <c r="C102" s="22">
        <v>319.1</v>
      </c>
      <c r="D102" s="22">
        <v>0.0389</v>
      </c>
      <c r="E102" s="25">
        <v>-1820</v>
      </c>
      <c r="F102" s="23"/>
      <c r="G102" s="22">
        <v>40000</v>
      </c>
      <c r="H102" s="22">
        <v>319.1</v>
      </c>
      <c r="I102" s="120">
        <v>0.0389</v>
      </c>
      <c r="J102" s="29">
        <v>-1820</v>
      </c>
      <c r="O102" s="281"/>
      <c r="P102" s="278"/>
      <c r="Q102" s="278"/>
      <c r="R102" s="278"/>
      <c r="S102" s="282"/>
    </row>
    <row r="103" spans="2:19" ht="11.25">
      <c r="B103" s="21">
        <v>80000</v>
      </c>
      <c r="C103" s="22">
        <v>405.4</v>
      </c>
      <c r="D103" s="22">
        <v>0.0457</v>
      </c>
      <c r="E103" s="22">
        <v>-2426</v>
      </c>
      <c r="F103" s="23"/>
      <c r="G103" s="22">
        <v>80000</v>
      </c>
      <c r="H103" s="22">
        <v>405.4</v>
      </c>
      <c r="I103" s="120">
        <v>0.0457</v>
      </c>
      <c r="J103" s="24">
        <v>-2426</v>
      </c>
      <c r="O103" s="281"/>
      <c r="P103" s="278"/>
      <c r="Q103" s="278"/>
      <c r="R103" s="278"/>
      <c r="S103" s="282"/>
    </row>
    <row r="104" spans="2:19" ht="12" thickBot="1">
      <c r="B104" s="26"/>
      <c r="C104" s="27"/>
      <c r="D104" s="27"/>
      <c r="E104" s="27"/>
      <c r="F104" s="27"/>
      <c r="G104" s="27"/>
      <c r="H104" s="27"/>
      <c r="I104" s="27"/>
      <c r="J104" s="28"/>
      <c r="O104" s="283"/>
      <c r="P104" s="284"/>
      <c r="Q104" s="284"/>
      <c r="R104" s="284"/>
      <c r="S104" s="285"/>
    </row>
    <row r="105" ht="12" thickBot="1"/>
    <row r="106" spans="2:19" ht="11.25">
      <c r="B106" s="17" t="s">
        <v>344</v>
      </c>
      <c r="C106" s="18">
        <f>C96+1</f>
        <v>110</v>
      </c>
      <c r="D106" s="18">
        <v>1.1</v>
      </c>
      <c r="E106" s="18">
        <f>ROUND(E96*0.95,4)</f>
        <v>0.0684</v>
      </c>
      <c r="F106" s="19">
        <v>50</v>
      </c>
      <c r="G106" s="19">
        <f>1+G96</f>
        <v>110</v>
      </c>
      <c r="H106" s="18"/>
      <c r="I106" s="18">
        <v>1.1</v>
      </c>
      <c r="J106" s="20">
        <f>E106</f>
        <v>0.0684</v>
      </c>
      <c r="L106" s="34">
        <f ca="1">OFFSET(RecognisedList,$G106+2,0)</f>
        <v>0</v>
      </c>
      <c r="M106" s="35">
        <f ca="1">OFFSET(RecognisedList,$G106+2,1)</f>
        <v>0</v>
      </c>
      <c r="O106" s="299">
        <v>0</v>
      </c>
      <c r="P106" s="279">
        <v>0</v>
      </c>
      <c r="Q106" s="279">
        <v>0</v>
      </c>
      <c r="R106" s="279">
        <v>0</v>
      </c>
      <c r="S106" s="280">
        <v>0</v>
      </c>
    </row>
    <row r="107" spans="2:19" ht="11.25">
      <c r="B107" s="21" t="s">
        <v>26</v>
      </c>
      <c r="C107" s="22" t="s">
        <v>11</v>
      </c>
      <c r="D107" s="22" t="s">
        <v>12</v>
      </c>
      <c r="E107" s="22" t="s">
        <v>81</v>
      </c>
      <c r="F107" s="23"/>
      <c r="G107" s="22" t="s">
        <v>26</v>
      </c>
      <c r="H107" s="22" t="s">
        <v>11</v>
      </c>
      <c r="I107" s="22" t="s">
        <v>12</v>
      </c>
      <c r="J107" s="24" t="s">
        <v>81</v>
      </c>
      <c r="L107" s="36">
        <f ca="1">OFFSET(RecognisedList,$G106+2,3)</f>
        <v>0</v>
      </c>
      <c r="M107" s="37">
        <f ca="1">OFFSET(RecognisedList,$G106+2,2)</f>
        <v>0</v>
      </c>
      <c r="O107" s="281"/>
      <c r="P107" s="278"/>
      <c r="Q107" s="278"/>
      <c r="R107" s="278"/>
      <c r="S107" s="282"/>
    </row>
    <row r="108" spans="2:19" ht="11.25">
      <c r="B108" s="21">
        <v>0</v>
      </c>
      <c r="C108" s="22">
        <f aca="true" t="shared" si="24" ref="C108:C113">ROUND(0.95*C98,1)</f>
        <v>1.8</v>
      </c>
      <c r="D108" s="22">
        <f aca="true" t="shared" si="25" ref="D108:D113">ROUND(0.95*D98,4)</f>
        <v>0.0746</v>
      </c>
      <c r="E108" s="22">
        <f aca="true" t="shared" si="26" ref="E108:E113">ROUND(0.95*E98,0)</f>
        <v>0</v>
      </c>
      <c r="F108" s="23"/>
      <c r="G108" s="22">
        <v>0</v>
      </c>
      <c r="H108" s="22">
        <f aca="true" t="shared" si="27" ref="H108:H113">ROUND(0.95*H98,1)</f>
        <v>1.8</v>
      </c>
      <c r="I108" s="120">
        <f aca="true" t="shared" si="28" ref="I108:I113">ROUND(0.95*I98,4)</f>
        <v>0.0746</v>
      </c>
      <c r="J108" s="24">
        <f aca="true" t="shared" si="29" ref="J108:J113">ROUND(0.95*J98,0)</f>
        <v>0</v>
      </c>
      <c r="O108" s="281"/>
      <c r="P108" s="278"/>
      <c r="Q108" s="278"/>
      <c r="R108" s="278"/>
      <c r="S108" s="282"/>
    </row>
    <row r="109" spans="2:19" ht="11.25">
      <c r="B109" s="21">
        <v>2000</v>
      </c>
      <c r="C109" s="22">
        <f t="shared" si="24"/>
        <v>7.1</v>
      </c>
      <c r="D109" s="22">
        <f t="shared" si="25"/>
        <v>0.0727</v>
      </c>
      <c r="E109" s="22">
        <f t="shared" si="26"/>
        <v>27</v>
      </c>
      <c r="F109" s="23"/>
      <c r="G109" s="22">
        <v>2000</v>
      </c>
      <c r="H109" s="22">
        <f t="shared" si="27"/>
        <v>7.1</v>
      </c>
      <c r="I109" s="120">
        <f t="shared" si="28"/>
        <v>0.0727</v>
      </c>
      <c r="J109" s="24">
        <f t="shared" si="29"/>
        <v>27</v>
      </c>
      <c r="O109" s="281"/>
      <c r="P109" s="278"/>
      <c r="Q109" s="278"/>
      <c r="R109" s="278"/>
      <c r="S109" s="282"/>
    </row>
    <row r="110" spans="2:19" ht="11.25">
      <c r="B110" s="21">
        <v>10000</v>
      </c>
      <c r="C110" s="22">
        <f t="shared" si="24"/>
        <v>83</v>
      </c>
      <c r="D110" s="22">
        <f t="shared" si="25"/>
        <v>0.0624</v>
      </c>
      <c r="E110" s="22">
        <f t="shared" si="26"/>
        <v>-333</v>
      </c>
      <c r="F110" s="23"/>
      <c r="G110" s="22">
        <v>10000</v>
      </c>
      <c r="H110" s="22">
        <f t="shared" si="27"/>
        <v>83</v>
      </c>
      <c r="I110" s="120">
        <f t="shared" si="28"/>
        <v>0.0624</v>
      </c>
      <c r="J110" s="24">
        <f t="shared" si="29"/>
        <v>-333</v>
      </c>
      <c r="O110" s="281"/>
      <c r="P110" s="278"/>
      <c r="Q110" s="278"/>
      <c r="R110" s="278"/>
      <c r="S110" s="282"/>
    </row>
    <row r="111" spans="2:19" ht="11.25">
      <c r="B111" s="21">
        <v>20000</v>
      </c>
      <c r="C111" s="22">
        <f t="shared" si="24"/>
        <v>186.2</v>
      </c>
      <c r="D111" s="22">
        <f t="shared" si="25"/>
        <v>0.0482</v>
      </c>
      <c r="E111" s="22">
        <f t="shared" si="26"/>
        <v>-966</v>
      </c>
      <c r="F111" s="23"/>
      <c r="G111" s="22">
        <v>20000</v>
      </c>
      <c r="H111" s="22">
        <f t="shared" si="27"/>
        <v>186.2</v>
      </c>
      <c r="I111" s="120">
        <f t="shared" si="28"/>
        <v>0.0482</v>
      </c>
      <c r="J111" s="24">
        <f t="shared" si="29"/>
        <v>-966</v>
      </c>
      <c r="O111" s="281"/>
      <c r="P111" s="278"/>
      <c r="Q111" s="278"/>
      <c r="R111" s="278"/>
      <c r="S111" s="282"/>
    </row>
    <row r="112" spans="2:19" ht="11.25">
      <c r="B112" s="21">
        <v>40000</v>
      </c>
      <c r="C112" s="22">
        <f t="shared" si="24"/>
        <v>303.1</v>
      </c>
      <c r="D112" s="22">
        <f t="shared" si="25"/>
        <v>0.037</v>
      </c>
      <c r="E112" s="22">
        <f t="shared" si="26"/>
        <v>-1729</v>
      </c>
      <c r="F112" s="23"/>
      <c r="G112" s="22">
        <v>40000</v>
      </c>
      <c r="H112" s="22">
        <f t="shared" si="27"/>
        <v>303.1</v>
      </c>
      <c r="I112" s="120">
        <f t="shared" si="28"/>
        <v>0.037</v>
      </c>
      <c r="J112" s="29">
        <f t="shared" si="29"/>
        <v>-1729</v>
      </c>
      <c r="O112" s="281"/>
      <c r="P112" s="278"/>
      <c r="Q112" s="278"/>
      <c r="R112" s="278"/>
      <c r="S112" s="282"/>
    </row>
    <row r="113" spans="2:19" ht="11.25">
      <c r="B113" s="21">
        <v>80000</v>
      </c>
      <c r="C113" s="22">
        <f t="shared" si="24"/>
        <v>385.1</v>
      </c>
      <c r="D113" s="22">
        <f t="shared" si="25"/>
        <v>0.0434</v>
      </c>
      <c r="E113" s="22">
        <f t="shared" si="26"/>
        <v>-2305</v>
      </c>
      <c r="F113" s="23"/>
      <c r="G113" s="22">
        <v>80000</v>
      </c>
      <c r="H113" s="22">
        <f t="shared" si="27"/>
        <v>385.1</v>
      </c>
      <c r="I113" s="120">
        <f t="shared" si="28"/>
        <v>0.0434</v>
      </c>
      <c r="J113" s="24">
        <f t="shared" si="29"/>
        <v>-2305</v>
      </c>
      <c r="O113" s="281"/>
      <c r="P113" s="278"/>
      <c r="Q113" s="278"/>
      <c r="R113" s="278"/>
      <c r="S113" s="282"/>
    </row>
    <row r="114" spans="2:19" ht="12" thickBot="1">
      <c r="B114" s="26"/>
      <c r="C114" s="27"/>
      <c r="D114" s="27"/>
      <c r="E114" s="27"/>
      <c r="F114" s="27"/>
      <c r="G114" s="27"/>
      <c r="H114" s="27"/>
      <c r="I114" s="27"/>
      <c r="J114" s="28"/>
      <c r="O114" s="283"/>
      <c r="P114" s="284"/>
      <c r="Q114" s="284"/>
      <c r="R114" s="284"/>
      <c r="S114" s="285"/>
    </row>
    <row r="115" ht="12" thickBot="1"/>
    <row r="116" spans="2:19" ht="11.25">
      <c r="B116" s="17" t="s">
        <v>242</v>
      </c>
      <c r="C116" s="18">
        <f>C106+1</f>
        <v>111</v>
      </c>
      <c r="D116" s="18">
        <v>0.6</v>
      </c>
      <c r="E116" s="18">
        <v>0.072</v>
      </c>
      <c r="F116" s="19">
        <v>24</v>
      </c>
      <c r="G116" s="19">
        <f>1+G106</f>
        <v>111</v>
      </c>
      <c r="H116" s="18"/>
      <c r="I116" s="18">
        <v>0.6</v>
      </c>
      <c r="J116" s="20">
        <f>E116</f>
        <v>0.072</v>
      </c>
      <c r="L116" s="34">
        <f ca="1">OFFSET(RecognisedList,$G116+2,0)</f>
        <v>0</v>
      </c>
      <c r="M116" s="35">
        <f ca="1">OFFSET(RecognisedList,$G116+2,1)</f>
        <v>0</v>
      </c>
      <c r="O116" s="299">
        <v>0</v>
      </c>
      <c r="P116" s="279">
        <v>0</v>
      </c>
      <c r="Q116" s="279">
        <v>0</v>
      </c>
      <c r="R116" s="279">
        <v>0</v>
      </c>
      <c r="S116" s="280">
        <v>0</v>
      </c>
    </row>
    <row r="117" spans="2:19" ht="11.25">
      <c r="B117" s="21" t="s">
        <v>26</v>
      </c>
      <c r="C117" s="22" t="s">
        <v>11</v>
      </c>
      <c r="D117" s="22" t="s">
        <v>12</v>
      </c>
      <c r="E117" s="22" t="s">
        <v>81</v>
      </c>
      <c r="F117" s="23"/>
      <c r="G117" s="22" t="s">
        <v>26</v>
      </c>
      <c r="H117" s="22" t="s">
        <v>11</v>
      </c>
      <c r="I117" s="22" t="s">
        <v>12</v>
      </c>
      <c r="J117" s="24" t="s">
        <v>81</v>
      </c>
      <c r="L117" s="36">
        <f ca="1">OFFSET(RecognisedList,$G116+2,3)</f>
        <v>0</v>
      </c>
      <c r="M117" s="37">
        <f ca="1">OFFSET(RecognisedList,$G116+2,2)</f>
        <v>0</v>
      </c>
      <c r="O117" s="281"/>
      <c r="P117" s="278"/>
      <c r="Q117" s="278"/>
      <c r="R117" s="278"/>
      <c r="S117" s="282"/>
    </row>
    <row r="118" spans="2:19" ht="11.25">
      <c r="B118" s="21">
        <v>0</v>
      </c>
      <c r="C118" s="22">
        <v>1.9</v>
      </c>
      <c r="D118" s="22">
        <v>0.0785</v>
      </c>
      <c r="E118" s="22">
        <v>0</v>
      </c>
      <c r="F118" s="23"/>
      <c r="G118" s="22">
        <v>0</v>
      </c>
      <c r="H118" s="22">
        <v>1.9</v>
      </c>
      <c r="I118" s="120">
        <v>0.0785</v>
      </c>
      <c r="J118" s="24">
        <v>0</v>
      </c>
      <c r="O118" s="281"/>
      <c r="P118" s="278"/>
      <c r="Q118" s="278"/>
      <c r="R118" s="278"/>
      <c r="S118" s="282"/>
    </row>
    <row r="119" spans="2:19" ht="11.25">
      <c r="B119" s="21">
        <v>2000</v>
      </c>
      <c r="C119" s="22">
        <v>7.5</v>
      </c>
      <c r="D119" s="22">
        <v>0.0765</v>
      </c>
      <c r="E119" s="22">
        <v>28</v>
      </c>
      <c r="F119" s="23"/>
      <c r="G119" s="22">
        <v>2000</v>
      </c>
      <c r="H119" s="22">
        <v>7.5</v>
      </c>
      <c r="I119" s="120">
        <v>0.0765</v>
      </c>
      <c r="J119" s="24">
        <v>28</v>
      </c>
      <c r="O119" s="281"/>
      <c r="P119" s="278"/>
      <c r="Q119" s="278"/>
      <c r="R119" s="278"/>
      <c r="S119" s="282"/>
    </row>
    <row r="120" spans="2:19" ht="11.25">
      <c r="B120" s="21">
        <v>10000</v>
      </c>
      <c r="C120" s="22">
        <v>87.4</v>
      </c>
      <c r="D120" s="22">
        <v>0.0657</v>
      </c>
      <c r="E120" s="22">
        <v>-350</v>
      </c>
      <c r="F120" s="23"/>
      <c r="G120" s="22">
        <v>10000</v>
      </c>
      <c r="H120" s="22">
        <v>87.4</v>
      </c>
      <c r="I120" s="120">
        <v>0.0657</v>
      </c>
      <c r="J120" s="24">
        <v>-350</v>
      </c>
      <c r="O120" s="281"/>
      <c r="P120" s="278"/>
      <c r="Q120" s="278"/>
      <c r="R120" s="278"/>
      <c r="S120" s="282"/>
    </row>
    <row r="121" spans="2:19" ht="11.25">
      <c r="B121" s="21">
        <v>20000</v>
      </c>
      <c r="C121" s="22">
        <v>196</v>
      </c>
      <c r="D121" s="22">
        <v>0.0507</v>
      </c>
      <c r="E121" s="22">
        <v>-1017</v>
      </c>
      <c r="F121" s="23"/>
      <c r="G121" s="22">
        <v>20000</v>
      </c>
      <c r="H121" s="22">
        <v>196</v>
      </c>
      <c r="I121" s="120">
        <v>0.0507</v>
      </c>
      <c r="J121" s="24">
        <v>-1017</v>
      </c>
      <c r="O121" s="281"/>
      <c r="P121" s="278"/>
      <c r="Q121" s="278"/>
      <c r="R121" s="278"/>
      <c r="S121" s="282"/>
    </row>
    <row r="122" spans="2:19" ht="11.25">
      <c r="B122" s="21">
        <v>40000</v>
      </c>
      <c r="C122" s="22">
        <v>319.1</v>
      </c>
      <c r="D122" s="22">
        <v>0.0389</v>
      </c>
      <c r="E122" s="25">
        <v>-1820</v>
      </c>
      <c r="F122" s="23"/>
      <c r="G122" s="22">
        <v>40000</v>
      </c>
      <c r="H122" s="22">
        <v>319.1</v>
      </c>
      <c r="I122" s="120">
        <v>0.0389</v>
      </c>
      <c r="J122" s="29">
        <v>-1820</v>
      </c>
      <c r="O122" s="281"/>
      <c r="P122" s="278"/>
      <c r="Q122" s="278"/>
      <c r="R122" s="278"/>
      <c r="S122" s="282"/>
    </row>
    <row r="123" spans="2:19" ht="11.25">
      <c r="B123" s="21">
        <v>80000</v>
      </c>
      <c r="C123" s="22">
        <v>405.4</v>
      </c>
      <c r="D123" s="22">
        <v>0.0457</v>
      </c>
      <c r="E123" s="22">
        <v>-2426</v>
      </c>
      <c r="F123" s="23"/>
      <c r="G123" s="22">
        <v>80000</v>
      </c>
      <c r="H123" s="22">
        <v>405.4</v>
      </c>
      <c r="I123" s="120">
        <v>0.0457</v>
      </c>
      <c r="J123" s="24">
        <v>-2426</v>
      </c>
      <c r="O123" s="281"/>
      <c r="P123" s="278"/>
      <c r="Q123" s="278"/>
      <c r="R123" s="278"/>
      <c r="S123" s="282"/>
    </row>
    <row r="124" spans="2:19" ht="12" thickBot="1">
      <c r="B124" s="26"/>
      <c r="C124" s="27"/>
      <c r="D124" s="27"/>
      <c r="E124" s="27"/>
      <c r="F124" s="27"/>
      <c r="G124" s="27"/>
      <c r="H124" s="27"/>
      <c r="I124" s="27"/>
      <c r="J124" s="28"/>
      <c r="O124" s="283"/>
      <c r="P124" s="284"/>
      <c r="Q124" s="284"/>
      <c r="R124" s="284"/>
      <c r="S124" s="285"/>
    </row>
    <row r="125" ht="12" thickBot="1"/>
    <row r="126" spans="2:19" ht="11.25">
      <c r="B126" s="17" t="s">
        <v>243</v>
      </c>
      <c r="C126" s="18">
        <f>C116+1</f>
        <v>112</v>
      </c>
      <c r="D126" s="18">
        <v>0.6</v>
      </c>
      <c r="E126" s="18">
        <f>ROUND(E116*0.95,4)</f>
        <v>0.0684</v>
      </c>
      <c r="F126" s="19">
        <v>24</v>
      </c>
      <c r="G126" s="19">
        <f>1+G116</f>
        <v>112</v>
      </c>
      <c r="H126" s="18"/>
      <c r="I126" s="18">
        <v>0.6</v>
      </c>
      <c r="J126" s="20">
        <f>E126</f>
        <v>0.0684</v>
      </c>
      <c r="L126" s="34">
        <f ca="1">OFFSET(RecognisedList,$G126+2,0)</f>
        <v>0</v>
      </c>
      <c r="M126" s="35">
        <f ca="1">OFFSET(RecognisedList,$G126+2,1)</f>
        <v>0</v>
      </c>
      <c r="O126" s="299">
        <v>0</v>
      </c>
      <c r="P126" s="279">
        <v>0</v>
      </c>
      <c r="Q126" s="279">
        <v>0</v>
      </c>
      <c r="R126" s="279">
        <v>0</v>
      </c>
      <c r="S126" s="280">
        <v>0</v>
      </c>
    </row>
    <row r="127" spans="2:19" ht="11.25">
      <c r="B127" s="21" t="s">
        <v>26</v>
      </c>
      <c r="C127" s="22" t="s">
        <v>11</v>
      </c>
      <c r="D127" s="22" t="s">
        <v>12</v>
      </c>
      <c r="E127" s="22" t="s">
        <v>81</v>
      </c>
      <c r="F127" s="23"/>
      <c r="G127" s="22" t="s">
        <v>26</v>
      </c>
      <c r="H127" s="22" t="s">
        <v>11</v>
      </c>
      <c r="I127" s="22" t="s">
        <v>12</v>
      </c>
      <c r="J127" s="24" t="s">
        <v>81</v>
      </c>
      <c r="L127" s="36">
        <f ca="1">OFFSET(RecognisedList,$G126+2,3)</f>
        <v>0</v>
      </c>
      <c r="M127" s="37">
        <f ca="1">OFFSET(RecognisedList,$G126+2,2)</f>
        <v>0</v>
      </c>
      <c r="O127" s="281"/>
      <c r="P127" s="278"/>
      <c r="Q127" s="278"/>
      <c r="R127" s="278"/>
      <c r="S127" s="282"/>
    </row>
    <row r="128" spans="2:19" ht="11.25">
      <c r="B128" s="21">
        <v>0</v>
      </c>
      <c r="C128" s="22">
        <f aca="true" t="shared" si="30" ref="C128:C133">ROUND(0.95*C118,1)</f>
        <v>1.8</v>
      </c>
      <c r="D128" s="22">
        <f aca="true" t="shared" si="31" ref="D128:D133">ROUND(0.95*D118,4)</f>
        <v>0.0746</v>
      </c>
      <c r="E128" s="22">
        <f aca="true" t="shared" si="32" ref="E128:E133">ROUND(0.95*E118,0)</f>
        <v>0</v>
      </c>
      <c r="F128" s="23"/>
      <c r="G128" s="22">
        <v>0</v>
      </c>
      <c r="H128" s="22">
        <f aca="true" t="shared" si="33" ref="H128:H133">ROUND(0.95*H118,1)</f>
        <v>1.8</v>
      </c>
      <c r="I128" s="120">
        <f aca="true" t="shared" si="34" ref="I128:I133">ROUND(0.95*I118,4)</f>
        <v>0.0746</v>
      </c>
      <c r="J128" s="24">
        <f aca="true" t="shared" si="35" ref="J128:J133">ROUND(0.95*J118,0)</f>
        <v>0</v>
      </c>
      <c r="O128" s="281"/>
      <c r="P128" s="278"/>
      <c r="Q128" s="278"/>
      <c r="R128" s="278"/>
      <c r="S128" s="282"/>
    </row>
    <row r="129" spans="2:19" ht="11.25">
      <c r="B129" s="21">
        <v>2000</v>
      </c>
      <c r="C129" s="22">
        <f t="shared" si="30"/>
        <v>7.1</v>
      </c>
      <c r="D129" s="22">
        <f t="shared" si="31"/>
        <v>0.0727</v>
      </c>
      <c r="E129" s="22">
        <f t="shared" si="32"/>
        <v>27</v>
      </c>
      <c r="F129" s="23"/>
      <c r="G129" s="22">
        <v>2000</v>
      </c>
      <c r="H129" s="22">
        <f t="shared" si="33"/>
        <v>7.1</v>
      </c>
      <c r="I129" s="120">
        <f t="shared" si="34"/>
        <v>0.0727</v>
      </c>
      <c r="J129" s="24">
        <f t="shared" si="35"/>
        <v>27</v>
      </c>
      <c r="O129" s="281"/>
      <c r="P129" s="278"/>
      <c r="Q129" s="278"/>
      <c r="R129" s="278"/>
      <c r="S129" s="282"/>
    </row>
    <row r="130" spans="2:19" ht="11.25">
      <c r="B130" s="21">
        <v>10000</v>
      </c>
      <c r="C130" s="22">
        <f t="shared" si="30"/>
        <v>83</v>
      </c>
      <c r="D130" s="22">
        <f t="shared" si="31"/>
        <v>0.0624</v>
      </c>
      <c r="E130" s="22">
        <f t="shared" si="32"/>
        <v>-333</v>
      </c>
      <c r="F130" s="23"/>
      <c r="G130" s="22">
        <v>10000</v>
      </c>
      <c r="H130" s="22">
        <f t="shared" si="33"/>
        <v>83</v>
      </c>
      <c r="I130" s="120">
        <f t="shared" si="34"/>
        <v>0.0624</v>
      </c>
      <c r="J130" s="24">
        <f t="shared" si="35"/>
        <v>-333</v>
      </c>
      <c r="O130" s="281"/>
      <c r="P130" s="278"/>
      <c r="Q130" s="278"/>
      <c r="R130" s="278"/>
      <c r="S130" s="282"/>
    </row>
    <row r="131" spans="2:19" ht="11.25">
      <c r="B131" s="21">
        <v>20000</v>
      </c>
      <c r="C131" s="22">
        <f t="shared" si="30"/>
        <v>186.2</v>
      </c>
      <c r="D131" s="22">
        <f t="shared" si="31"/>
        <v>0.0482</v>
      </c>
      <c r="E131" s="22">
        <f t="shared" si="32"/>
        <v>-966</v>
      </c>
      <c r="F131" s="23"/>
      <c r="G131" s="22">
        <v>20000</v>
      </c>
      <c r="H131" s="22">
        <f t="shared" si="33"/>
        <v>186.2</v>
      </c>
      <c r="I131" s="120">
        <f t="shared" si="34"/>
        <v>0.0482</v>
      </c>
      <c r="J131" s="24">
        <f t="shared" si="35"/>
        <v>-966</v>
      </c>
      <c r="O131" s="281"/>
      <c r="P131" s="278"/>
      <c r="Q131" s="278"/>
      <c r="R131" s="278"/>
      <c r="S131" s="282"/>
    </row>
    <row r="132" spans="2:19" ht="11.25">
      <c r="B132" s="21">
        <v>40000</v>
      </c>
      <c r="C132" s="22">
        <f t="shared" si="30"/>
        <v>303.1</v>
      </c>
      <c r="D132" s="22">
        <f t="shared" si="31"/>
        <v>0.037</v>
      </c>
      <c r="E132" s="22">
        <f t="shared" si="32"/>
        <v>-1729</v>
      </c>
      <c r="F132" s="23"/>
      <c r="G132" s="22">
        <v>40000</v>
      </c>
      <c r="H132" s="22">
        <f t="shared" si="33"/>
        <v>303.1</v>
      </c>
      <c r="I132" s="120">
        <f t="shared" si="34"/>
        <v>0.037</v>
      </c>
      <c r="J132" s="29">
        <f t="shared" si="35"/>
        <v>-1729</v>
      </c>
      <c r="O132" s="281"/>
      <c r="P132" s="278"/>
      <c r="Q132" s="278"/>
      <c r="R132" s="278"/>
      <c r="S132" s="282"/>
    </row>
    <row r="133" spans="2:19" ht="11.25">
      <c r="B133" s="21">
        <v>80000</v>
      </c>
      <c r="C133" s="22">
        <f t="shared" si="30"/>
        <v>385.1</v>
      </c>
      <c r="D133" s="22">
        <f t="shared" si="31"/>
        <v>0.0434</v>
      </c>
      <c r="E133" s="22">
        <f t="shared" si="32"/>
        <v>-2305</v>
      </c>
      <c r="F133" s="23"/>
      <c r="G133" s="22">
        <v>80000</v>
      </c>
      <c r="H133" s="22">
        <f t="shared" si="33"/>
        <v>385.1</v>
      </c>
      <c r="I133" s="120">
        <f t="shared" si="34"/>
        <v>0.0434</v>
      </c>
      <c r="J133" s="24">
        <f t="shared" si="35"/>
        <v>-2305</v>
      </c>
      <c r="O133" s="281"/>
      <c r="P133" s="278"/>
      <c r="Q133" s="278"/>
      <c r="R133" s="278"/>
      <c r="S133" s="282"/>
    </row>
    <row r="134" spans="2:19" ht="12" thickBot="1">
      <c r="B134" s="26"/>
      <c r="C134" s="27"/>
      <c r="D134" s="27"/>
      <c r="E134" s="27"/>
      <c r="F134" s="27"/>
      <c r="G134" s="27"/>
      <c r="H134" s="27"/>
      <c r="I134" s="27"/>
      <c r="J134" s="28"/>
      <c r="O134" s="283"/>
      <c r="P134" s="284"/>
      <c r="Q134" s="284"/>
      <c r="R134" s="284"/>
      <c r="S134" s="285"/>
    </row>
    <row r="135" ht="12" thickBot="1"/>
    <row r="136" spans="2:19" ht="11.25">
      <c r="B136" s="17" t="s">
        <v>244</v>
      </c>
      <c r="C136" s="18">
        <f>C126+1</f>
        <v>113</v>
      </c>
      <c r="D136" s="18">
        <v>1.1</v>
      </c>
      <c r="E136" s="18">
        <v>0.072</v>
      </c>
      <c r="F136" s="19">
        <v>50</v>
      </c>
      <c r="G136" s="19">
        <f>1+G126</f>
        <v>113</v>
      </c>
      <c r="H136" s="18"/>
      <c r="I136" s="18">
        <v>1.1</v>
      </c>
      <c r="J136" s="20">
        <f>E136</f>
        <v>0.072</v>
      </c>
      <c r="L136" s="34">
        <f ca="1">OFFSET(RecognisedList,$G136+2,0)</f>
        <v>0</v>
      </c>
      <c r="M136" s="35">
        <f ca="1">OFFSET(RecognisedList,$G136+2,1)</f>
        <v>0</v>
      </c>
      <c r="O136" s="299">
        <v>0</v>
      </c>
      <c r="P136" s="279">
        <v>0</v>
      </c>
      <c r="Q136" s="279">
        <v>0</v>
      </c>
      <c r="R136" s="279">
        <v>0</v>
      </c>
      <c r="S136" s="280">
        <v>0</v>
      </c>
    </row>
    <row r="137" spans="2:19" ht="11.25">
      <c r="B137" s="21" t="s">
        <v>26</v>
      </c>
      <c r="C137" s="22" t="s">
        <v>11</v>
      </c>
      <c r="D137" s="22" t="s">
        <v>12</v>
      </c>
      <c r="E137" s="22" t="s">
        <v>81</v>
      </c>
      <c r="F137" s="23"/>
      <c r="G137" s="22" t="s">
        <v>26</v>
      </c>
      <c r="H137" s="22" t="s">
        <v>11</v>
      </c>
      <c r="I137" s="22" t="s">
        <v>12</v>
      </c>
      <c r="J137" s="24" t="s">
        <v>81</v>
      </c>
      <c r="L137" s="36">
        <f ca="1">OFFSET(RecognisedList,$G136+2,3)</f>
        <v>0</v>
      </c>
      <c r="M137" s="37">
        <f ca="1">OFFSET(RecognisedList,$G136+2,2)</f>
        <v>0</v>
      </c>
      <c r="O137" s="281"/>
      <c r="P137" s="278"/>
      <c r="Q137" s="278"/>
      <c r="R137" s="278"/>
      <c r="S137" s="282"/>
    </row>
    <row r="138" spans="2:19" ht="11.25">
      <c r="B138" s="21">
        <v>0</v>
      </c>
      <c r="C138" s="22">
        <v>1.9</v>
      </c>
      <c r="D138" s="22">
        <v>0.0785</v>
      </c>
      <c r="E138" s="22">
        <v>0</v>
      </c>
      <c r="F138" s="23"/>
      <c r="G138" s="22">
        <v>0</v>
      </c>
      <c r="H138" s="22">
        <v>1.9</v>
      </c>
      <c r="I138" s="120">
        <v>0.0785</v>
      </c>
      <c r="J138" s="24">
        <v>0</v>
      </c>
      <c r="O138" s="281"/>
      <c r="P138" s="278"/>
      <c r="Q138" s="278"/>
      <c r="R138" s="278"/>
      <c r="S138" s="282"/>
    </row>
    <row r="139" spans="2:19" ht="11.25">
      <c r="B139" s="21">
        <v>2000</v>
      </c>
      <c r="C139" s="22">
        <v>7.5</v>
      </c>
      <c r="D139" s="22">
        <v>0.0765</v>
      </c>
      <c r="E139" s="22">
        <v>28</v>
      </c>
      <c r="F139" s="23"/>
      <c r="G139" s="22">
        <v>2000</v>
      </c>
      <c r="H139" s="22">
        <v>7.5</v>
      </c>
      <c r="I139" s="120">
        <v>0.0765</v>
      </c>
      <c r="J139" s="24">
        <v>28</v>
      </c>
      <c r="O139" s="281"/>
      <c r="P139" s="278"/>
      <c r="Q139" s="278"/>
      <c r="R139" s="278"/>
      <c r="S139" s="282"/>
    </row>
    <row r="140" spans="2:19" ht="11.25">
      <c r="B140" s="21">
        <v>10000</v>
      </c>
      <c r="C140" s="22">
        <v>87.4</v>
      </c>
      <c r="D140" s="22">
        <v>0.0657</v>
      </c>
      <c r="E140" s="22">
        <v>-350</v>
      </c>
      <c r="F140" s="23"/>
      <c r="G140" s="22">
        <v>10000</v>
      </c>
      <c r="H140" s="22">
        <v>87.4</v>
      </c>
      <c r="I140" s="120">
        <v>0.0657</v>
      </c>
      <c r="J140" s="24">
        <v>-350</v>
      </c>
      <c r="O140" s="281"/>
      <c r="P140" s="278"/>
      <c r="Q140" s="278"/>
      <c r="R140" s="278"/>
      <c r="S140" s="282"/>
    </row>
    <row r="141" spans="2:19" ht="11.25">
      <c r="B141" s="21">
        <v>20000</v>
      </c>
      <c r="C141" s="22">
        <v>196</v>
      </c>
      <c r="D141" s="22">
        <v>0.0507</v>
      </c>
      <c r="E141" s="22">
        <v>-1017</v>
      </c>
      <c r="F141" s="23"/>
      <c r="G141" s="22">
        <v>20000</v>
      </c>
      <c r="H141" s="22">
        <v>196</v>
      </c>
      <c r="I141" s="120">
        <v>0.0507</v>
      </c>
      <c r="J141" s="24">
        <v>-1017</v>
      </c>
      <c r="O141" s="281"/>
      <c r="P141" s="278"/>
      <c r="Q141" s="278"/>
      <c r="R141" s="278"/>
      <c r="S141" s="282"/>
    </row>
    <row r="142" spans="2:19" ht="11.25">
      <c r="B142" s="21">
        <v>40000</v>
      </c>
      <c r="C142" s="22">
        <v>319.1</v>
      </c>
      <c r="D142" s="22">
        <v>0.0389</v>
      </c>
      <c r="E142" s="25">
        <v>-1820</v>
      </c>
      <c r="F142" s="23"/>
      <c r="G142" s="22">
        <v>40000</v>
      </c>
      <c r="H142" s="22">
        <v>319.1</v>
      </c>
      <c r="I142" s="120">
        <v>0.0389</v>
      </c>
      <c r="J142" s="29">
        <v>-1820</v>
      </c>
      <c r="O142" s="281"/>
      <c r="P142" s="278"/>
      <c r="Q142" s="278"/>
      <c r="R142" s="278"/>
      <c r="S142" s="282"/>
    </row>
    <row r="143" spans="2:19" ht="11.25">
      <c r="B143" s="21">
        <v>80000</v>
      </c>
      <c r="C143" s="22">
        <v>405.4</v>
      </c>
      <c r="D143" s="22">
        <v>0.0457</v>
      </c>
      <c r="E143" s="22">
        <v>-2426</v>
      </c>
      <c r="F143" s="23"/>
      <c r="G143" s="22">
        <v>80000</v>
      </c>
      <c r="H143" s="22">
        <v>405.4</v>
      </c>
      <c r="I143" s="120">
        <v>0.0457</v>
      </c>
      <c r="J143" s="24">
        <v>-2426</v>
      </c>
      <c r="O143" s="281"/>
      <c r="P143" s="278"/>
      <c r="Q143" s="278"/>
      <c r="R143" s="278"/>
      <c r="S143" s="282"/>
    </row>
    <row r="144" spans="2:19" ht="12" thickBot="1">
      <c r="B144" s="26"/>
      <c r="C144" s="27"/>
      <c r="D144" s="27"/>
      <c r="E144" s="27"/>
      <c r="F144" s="27"/>
      <c r="G144" s="27"/>
      <c r="H144" s="27"/>
      <c r="I144" s="27"/>
      <c r="J144" s="28"/>
      <c r="O144" s="283"/>
      <c r="P144" s="284"/>
      <c r="Q144" s="284"/>
      <c r="R144" s="284"/>
      <c r="S144" s="285"/>
    </row>
    <row r="145" ht="12" thickBot="1"/>
    <row r="146" spans="2:19" ht="11.25">
      <c r="B146" s="17" t="s">
        <v>245</v>
      </c>
      <c r="C146" s="18">
        <f>C136+1</f>
        <v>114</v>
      </c>
      <c r="D146" s="18">
        <v>1.1</v>
      </c>
      <c r="E146" s="18">
        <f>ROUND(E136*0.95,4)</f>
        <v>0.0684</v>
      </c>
      <c r="F146" s="19">
        <v>50</v>
      </c>
      <c r="G146" s="19">
        <f>1+G136</f>
        <v>114</v>
      </c>
      <c r="H146" s="18"/>
      <c r="I146" s="18">
        <v>1.1</v>
      </c>
      <c r="J146" s="20">
        <f>E146</f>
        <v>0.0684</v>
      </c>
      <c r="L146" s="34">
        <f ca="1">OFFSET(RecognisedList,$G146+2,0)</f>
        <v>0</v>
      </c>
      <c r="M146" s="35">
        <f ca="1">OFFSET(RecognisedList,$G146+2,1)</f>
        <v>0</v>
      </c>
      <c r="O146" s="299">
        <v>0</v>
      </c>
      <c r="P146" s="279">
        <v>0</v>
      </c>
      <c r="Q146" s="279">
        <v>0</v>
      </c>
      <c r="R146" s="279">
        <v>0</v>
      </c>
      <c r="S146" s="280">
        <v>0</v>
      </c>
    </row>
    <row r="147" spans="2:19" ht="11.25">
      <c r="B147" s="21" t="s">
        <v>26</v>
      </c>
      <c r="C147" s="22" t="s">
        <v>11</v>
      </c>
      <c r="D147" s="22" t="s">
        <v>12</v>
      </c>
      <c r="E147" s="22" t="s">
        <v>81</v>
      </c>
      <c r="F147" s="23"/>
      <c r="G147" s="22" t="s">
        <v>26</v>
      </c>
      <c r="H147" s="22" t="s">
        <v>11</v>
      </c>
      <c r="I147" s="22" t="s">
        <v>12</v>
      </c>
      <c r="J147" s="24" t="s">
        <v>81</v>
      </c>
      <c r="L147" s="36">
        <f ca="1">OFFSET(RecognisedList,$G146+2,3)</f>
        <v>0</v>
      </c>
      <c r="M147" s="37">
        <f ca="1">OFFSET(RecognisedList,$G146+2,2)</f>
        <v>0</v>
      </c>
      <c r="O147" s="281"/>
      <c r="P147" s="278"/>
      <c r="Q147" s="278"/>
      <c r="R147" s="278"/>
      <c r="S147" s="282"/>
    </row>
    <row r="148" spans="2:19" ht="11.25">
      <c r="B148" s="21">
        <v>0</v>
      </c>
      <c r="C148" s="22">
        <f aca="true" t="shared" si="36" ref="C148:C153">ROUND(0.95*C138,1)</f>
        <v>1.8</v>
      </c>
      <c r="D148" s="22">
        <f aca="true" t="shared" si="37" ref="D148:D153">ROUND(0.95*D138,4)</f>
        <v>0.0746</v>
      </c>
      <c r="E148" s="22">
        <f aca="true" t="shared" si="38" ref="E148:E153">ROUND(0.95*E138,0)</f>
        <v>0</v>
      </c>
      <c r="F148" s="23"/>
      <c r="G148" s="22">
        <v>0</v>
      </c>
      <c r="H148" s="22">
        <f aca="true" t="shared" si="39" ref="H148:H153">ROUND(0.95*H138,1)</f>
        <v>1.8</v>
      </c>
      <c r="I148" s="120">
        <f aca="true" t="shared" si="40" ref="I148:I153">ROUND(0.95*I138,4)</f>
        <v>0.0746</v>
      </c>
      <c r="J148" s="24">
        <f aca="true" t="shared" si="41" ref="J148:J153">ROUND(0.95*J138,0)</f>
        <v>0</v>
      </c>
      <c r="O148" s="281"/>
      <c r="P148" s="278"/>
      <c r="Q148" s="278"/>
      <c r="R148" s="278"/>
      <c r="S148" s="282"/>
    </row>
    <row r="149" spans="2:19" ht="11.25">
      <c r="B149" s="21">
        <v>2000</v>
      </c>
      <c r="C149" s="22">
        <f t="shared" si="36"/>
        <v>7.1</v>
      </c>
      <c r="D149" s="22">
        <f t="shared" si="37"/>
        <v>0.0727</v>
      </c>
      <c r="E149" s="22">
        <f t="shared" si="38"/>
        <v>27</v>
      </c>
      <c r="F149" s="23"/>
      <c r="G149" s="22">
        <v>2000</v>
      </c>
      <c r="H149" s="22">
        <f t="shared" si="39"/>
        <v>7.1</v>
      </c>
      <c r="I149" s="120">
        <f t="shared" si="40"/>
        <v>0.0727</v>
      </c>
      <c r="J149" s="24">
        <f t="shared" si="41"/>
        <v>27</v>
      </c>
      <c r="O149" s="281"/>
      <c r="P149" s="278"/>
      <c r="Q149" s="278"/>
      <c r="R149" s="278"/>
      <c r="S149" s="282"/>
    </row>
    <row r="150" spans="2:19" ht="11.25">
      <c r="B150" s="21">
        <v>10000</v>
      </c>
      <c r="C150" s="22">
        <f t="shared" si="36"/>
        <v>83</v>
      </c>
      <c r="D150" s="22">
        <f t="shared" si="37"/>
        <v>0.0624</v>
      </c>
      <c r="E150" s="22">
        <f t="shared" si="38"/>
        <v>-333</v>
      </c>
      <c r="F150" s="23"/>
      <c r="G150" s="22">
        <v>10000</v>
      </c>
      <c r="H150" s="22">
        <f t="shared" si="39"/>
        <v>83</v>
      </c>
      <c r="I150" s="120">
        <f t="shared" si="40"/>
        <v>0.0624</v>
      </c>
      <c r="J150" s="24">
        <f t="shared" si="41"/>
        <v>-333</v>
      </c>
      <c r="O150" s="281"/>
      <c r="P150" s="278"/>
      <c r="Q150" s="278"/>
      <c r="R150" s="278"/>
      <c r="S150" s="282"/>
    </row>
    <row r="151" spans="2:19" ht="11.25">
      <c r="B151" s="21">
        <v>20000</v>
      </c>
      <c r="C151" s="22">
        <f t="shared" si="36"/>
        <v>186.2</v>
      </c>
      <c r="D151" s="22">
        <f t="shared" si="37"/>
        <v>0.0482</v>
      </c>
      <c r="E151" s="22">
        <f t="shared" si="38"/>
        <v>-966</v>
      </c>
      <c r="F151" s="23"/>
      <c r="G151" s="22">
        <v>20000</v>
      </c>
      <c r="H151" s="22">
        <f t="shared" si="39"/>
        <v>186.2</v>
      </c>
      <c r="I151" s="120">
        <f t="shared" si="40"/>
        <v>0.0482</v>
      </c>
      <c r="J151" s="24">
        <f t="shared" si="41"/>
        <v>-966</v>
      </c>
      <c r="O151" s="281"/>
      <c r="P151" s="278"/>
      <c r="Q151" s="278"/>
      <c r="R151" s="278"/>
      <c r="S151" s="282"/>
    </row>
    <row r="152" spans="2:19" ht="11.25">
      <c r="B152" s="21">
        <v>40000</v>
      </c>
      <c r="C152" s="22">
        <f t="shared" si="36"/>
        <v>303.1</v>
      </c>
      <c r="D152" s="22">
        <f t="shared" si="37"/>
        <v>0.037</v>
      </c>
      <c r="E152" s="22">
        <f t="shared" si="38"/>
        <v>-1729</v>
      </c>
      <c r="F152" s="23"/>
      <c r="G152" s="22">
        <v>40000</v>
      </c>
      <c r="H152" s="22">
        <f t="shared" si="39"/>
        <v>303.1</v>
      </c>
      <c r="I152" s="120">
        <f t="shared" si="40"/>
        <v>0.037</v>
      </c>
      <c r="J152" s="29">
        <f t="shared" si="41"/>
        <v>-1729</v>
      </c>
      <c r="O152" s="281"/>
      <c r="P152" s="278"/>
      <c r="Q152" s="278"/>
      <c r="R152" s="278"/>
      <c r="S152" s="282"/>
    </row>
    <row r="153" spans="2:19" ht="11.25">
      <c r="B153" s="21">
        <v>80000</v>
      </c>
      <c r="C153" s="22">
        <f t="shared" si="36"/>
        <v>385.1</v>
      </c>
      <c r="D153" s="22">
        <f t="shared" si="37"/>
        <v>0.0434</v>
      </c>
      <c r="E153" s="22">
        <f t="shared" si="38"/>
        <v>-2305</v>
      </c>
      <c r="F153" s="23"/>
      <c r="G153" s="22">
        <v>80000</v>
      </c>
      <c r="H153" s="22">
        <f t="shared" si="39"/>
        <v>385.1</v>
      </c>
      <c r="I153" s="120">
        <f t="shared" si="40"/>
        <v>0.0434</v>
      </c>
      <c r="J153" s="24">
        <f t="shared" si="41"/>
        <v>-2305</v>
      </c>
      <c r="O153" s="281"/>
      <c r="P153" s="278"/>
      <c r="Q153" s="278"/>
      <c r="R153" s="278"/>
      <c r="S153" s="282"/>
    </row>
    <row r="154" spans="2:19" ht="12" thickBot="1">
      <c r="B154" s="26"/>
      <c r="C154" s="27"/>
      <c r="D154" s="27"/>
      <c r="E154" s="27"/>
      <c r="F154" s="27"/>
      <c r="G154" s="27"/>
      <c r="H154" s="27"/>
      <c r="I154" s="27"/>
      <c r="J154" s="28"/>
      <c r="O154" s="283"/>
      <c r="P154" s="284"/>
      <c r="Q154" s="284"/>
      <c r="R154" s="284"/>
      <c r="S154" s="285"/>
    </row>
    <row r="155" ht="12" thickBot="1"/>
    <row r="156" spans="2:19" ht="11.25">
      <c r="B156" s="17" t="s">
        <v>347</v>
      </c>
      <c r="C156" s="18">
        <f>C146+1</f>
        <v>115</v>
      </c>
      <c r="D156" s="18">
        <v>0.6</v>
      </c>
      <c r="E156" s="18">
        <v>0.072</v>
      </c>
      <c r="F156" s="19">
        <v>24</v>
      </c>
      <c r="G156" s="19">
        <f>1+G146</f>
        <v>115</v>
      </c>
      <c r="H156" s="18"/>
      <c r="I156" s="18">
        <v>0.6</v>
      </c>
      <c r="J156" s="20">
        <f>E156</f>
        <v>0.072</v>
      </c>
      <c r="L156" s="34">
        <f ca="1">OFFSET(RecognisedList,$G156+2,0)</f>
        <v>0</v>
      </c>
      <c r="M156" s="35">
        <f ca="1">OFFSET(RecognisedList,$G156+2,1)</f>
        <v>0</v>
      </c>
      <c r="O156" s="299">
        <v>2.5</v>
      </c>
      <c r="P156" s="279">
        <v>10</v>
      </c>
      <c r="Q156" s="279">
        <v>80</v>
      </c>
      <c r="R156" s="279">
        <v>12</v>
      </c>
      <c r="S156" s="280">
        <v>2</v>
      </c>
    </row>
    <row r="157" spans="2:19" ht="11.25">
      <c r="B157" s="21" t="s">
        <v>26</v>
      </c>
      <c r="C157" s="22" t="s">
        <v>11</v>
      </c>
      <c r="D157" s="22" t="s">
        <v>12</v>
      </c>
      <c r="E157" s="22" t="s">
        <v>81</v>
      </c>
      <c r="F157" s="23"/>
      <c r="G157" s="22" t="s">
        <v>26</v>
      </c>
      <c r="H157" s="22" t="s">
        <v>11</v>
      </c>
      <c r="I157" s="22" t="s">
        <v>12</v>
      </c>
      <c r="J157" s="24" t="s">
        <v>81</v>
      </c>
      <c r="L157" s="36">
        <f ca="1">OFFSET(RecognisedList,$G156+2,3)</f>
        <v>0</v>
      </c>
      <c r="M157" s="37">
        <f ca="1">OFFSET(RecognisedList,$G156+2,2)</f>
        <v>0</v>
      </c>
      <c r="O157" s="281"/>
      <c r="P157" s="278"/>
      <c r="Q157" s="278"/>
      <c r="R157" s="278"/>
      <c r="S157" s="282"/>
    </row>
    <row r="158" spans="2:19" ht="11.25">
      <c r="B158" s="21">
        <v>0</v>
      </c>
      <c r="C158" s="22">
        <v>1.9</v>
      </c>
      <c r="D158" s="22">
        <v>0.0785</v>
      </c>
      <c r="E158" s="22">
        <v>0</v>
      </c>
      <c r="F158" s="23"/>
      <c r="G158" s="22">
        <v>0</v>
      </c>
      <c r="H158" s="22">
        <v>1.9</v>
      </c>
      <c r="I158" s="120">
        <v>0.0785</v>
      </c>
      <c r="J158" s="24">
        <v>0</v>
      </c>
      <c r="O158" s="281"/>
      <c r="P158" s="278"/>
      <c r="Q158" s="278"/>
      <c r="R158" s="278"/>
      <c r="S158" s="282"/>
    </row>
    <row r="159" spans="2:19" ht="11.25">
      <c r="B159" s="21">
        <v>2000</v>
      </c>
      <c r="C159" s="22">
        <v>7.5</v>
      </c>
      <c r="D159" s="22">
        <v>0.0765</v>
      </c>
      <c r="E159" s="22">
        <v>28</v>
      </c>
      <c r="F159" s="23"/>
      <c r="G159" s="22">
        <v>2000</v>
      </c>
      <c r="H159" s="22">
        <v>7.5</v>
      </c>
      <c r="I159" s="120">
        <v>0.0765</v>
      </c>
      <c r="J159" s="24">
        <v>28</v>
      </c>
      <c r="O159" s="281"/>
      <c r="P159" s="278"/>
      <c r="Q159" s="278"/>
      <c r="R159" s="278"/>
      <c r="S159" s="282"/>
    </row>
    <row r="160" spans="2:19" ht="11.25">
      <c r="B160" s="21">
        <v>10000</v>
      </c>
      <c r="C160" s="22">
        <v>87.4</v>
      </c>
      <c r="D160" s="22">
        <v>0.0657</v>
      </c>
      <c r="E160" s="22">
        <v>-350</v>
      </c>
      <c r="F160" s="23"/>
      <c r="G160" s="22">
        <v>10000</v>
      </c>
      <c r="H160" s="22">
        <v>87.4</v>
      </c>
      <c r="I160" s="120">
        <v>0.0657</v>
      </c>
      <c r="J160" s="24">
        <v>-350</v>
      </c>
      <c r="O160" s="281"/>
      <c r="P160" s="278"/>
      <c r="Q160" s="278"/>
      <c r="R160" s="278"/>
      <c r="S160" s="282"/>
    </row>
    <row r="161" spans="2:19" ht="11.25">
      <c r="B161" s="21">
        <v>20000</v>
      </c>
      <c r="C161" s="22">
        <v>196</v>
      </c>
      <c r="D161" s="22">
        <v>0.0507</v>
      </c>
      <c r="E161" s="22">
        <v>-1017</v>
      </c>
      <c r="F161" s="23"/>
      <c r="G161" s="22">
        <v>20000</v>
      </c>
      <c r="H161" s="22">
        <v>196</v>
      </c>
      <c r="I161" s="120">
        <v>0.0507</v>
      </c>
      <c r="J161" s="24">
        <v>-1017</v>
      </c>
      <c r="O161" s="281"/>
      <c r="P161" s="278"/>
      <c r="Q161" s="278"/>
      <c r="R161" s="278"/>
      <c r="S161" s="282"/>
    </row>
    <row r="162" spans="2:19" ht="11.25">
      <c r="B162" s="21">
        <v>40000</v>
      </c>
      <c r="C162" s="22">
        <v>319.1</v>
      </c>
      <c r="D162" s="22">
        <v>0.0389</v>
      </c>
      <c r="E162" s="25">
        <v>-1820</v>
      </c>
      <c r="F162" s="23"/>
      <c r="G162" s="22">
        <v>40000</v>
      </c>
      <c r="H162" s="22">
        <v>319.1</v>
      </c>
      <c r="I162" s="120">
        <v>0.0389</v>
      </c>
      <c r="J162" s="29">
        <v>-1820</v>
      </c>
      <c r="O162" s="281"/>
      <c r="P162" s="278"/>
      <c r="Q162" s="278"/>
      <c r="R162" s="278"/>
      <c r="S162" s="282"/>
    </row>
    <row r="163" spans="2:19" ht="11.25">
      <c r="B163" s="21">
        <v>80000</v>
      </c>
      <c r="C163" s="22">
        <v>405.4</v>
      </c>
      <c r="D163" s="22">
        <v>0.0457</v>
      </c>
      <c r="E163" s="22">
        <v>-2426</v>
      </c>
      <c r="F163" s="23"/>
      <c r="G163" s="22">
        <v>80000</v>
      </c>
      <c r="H163" s="22">
        <v>405.4</v>
      </c>
      <c r="I163" s="120">
        <v>0.0457</v>
      </c>
      <c r="J163" s="24">
        <v>-2426</v>
      </c>
      <c r="O163" s="281"/>
      <c r="P163" s="278"/>
      <c r="Q163" s="278"/>
      <c r="R163" s="278"/>
      <c r="S163" s="282"/>
    </row>
    <row r="164" spans="2:19" ht="12" thickBot="1">
      <c r="B164" s="26"/>
      <c r="C164" s="27"/>
      <c r="D164" s="27"/>
      <c r="E164" s="27"/>
      <c r="F164" s="27"/>
      <c r="G164" s="27"/>
      <c r="H164" s="27"/>
      <c r="I164" s="27"/>
      <c r="J164" s="28"/>
      <c r="O164" s="283"/>
      <c r="P164" s="284"/>
      <c r="Q164" s="284"/>
      <c r="R164" s="284"/>
      <c r="S164" s="285"/>
    </row>
    <row r="165" ht="12" thickBot="1"/>
    <row r="166" spans="2:19" ht="11.25">
      <c r="B166" s="17" t="s">
        <v>346</v>
      </c>
      <c r="C166" s="18">
        <f>C156+1</f>
        <v>116</v>
      </c>
      <c r="D166" s="18">
        <v>0.6</v>
      </c>
      <c r="E166" s="18">
        <f>ROUND(E156*0.95,4)</f>
        <v>0.0684</v>
      </c>
      <c r="F166" s="19">
        <v>24</v>
      </c>
      <c r="G166" s="19">
        <f>1+G156</f>
        <v>116</v>
      </c>
      <c r="H166" s="18"/>
      <c r="I166" s="18">
        <v>0.6</v>
      </c>
      <c r="J166" s="20">
        <f>E166</f>
        <v>0.0684</v>
      </c>
      <c r="L166" s="34">
        <f ca="1">OFFSET(RecognisedList,$G166+2,0)</f>
        <v>0</v>
      </c>
      <c r="M166" s="35">
        <f ca="1">OFFSET(RecognisedList,$G166+2,1)</f>
        <v>0</v>
      </c>
      <c r="O166" s="299">
        <v>2.5</v>
      </c>
      <c r="P166" s="279">
        <v>10</v>
      </c>
      <c r="Q166" s="279">
        <v>80</v>
      </c>
      <c r="R166" s="279">
        <v>12</v>
      </c>
      <c r="S166" s="280">
        <v>2</v>
      </c>
    </row>
    <row r="167" spans="2:19" ht="11.25">
      <c r="B167" s="21" t="s">
        <v>26</v>
      </c>
      <c r="C167" s="22" t="s">
        <v>11</v>
      </c>
      <c r="D167" s="22" t="s">
        <v>12</v>
      </c>
      <c r="E167" s="22" t="s">
        <v>81</v>
      </c>
      <c r="F167" s="23"/>
      <c r="G167" s="22" t="s">
        <v>26</v>
      </c>
      <c r="H167" s="22" t="s">
        <v>11</v>
      </c>
      <c r="I167" s="22" t="s">
        <v>12</v>
      </c>
      <c r="J167" s="24" t="s">
        <v>81</v>
      </c>
      <c r="L167" s="36">
        <f ca="1">OFFSET(RecognisedList,$G166+2,3)</f>
        <v>0</v>
      </c>
      <c r="M167" s="37">
        <f ca="1">OFFSET(RecognisedList,$G166+2,2)</f>
        <v>0</v>
      </c>
      <c r="O167" s="281"/>
      <c r="P167" s="278"/>
      <c r="Q167" s="278"/>
      <c r="R167" s="278"/>
      <c r="S167" s="282"/>
    </row>
    <row r="168" spans="2:19" ht="11.25">
      <c r="B168" s="21">
        <v>0</v>
      </c>
      <c r="C168" s="22">
        <f aca="true" t="shared" si="42" ref="C168:C173">ROUND(0.95*C158,1)</f>
        <v>1.8</v>
      </c>
      <c r="D168" s="22">
        <f aca="true" t="shared" si="43" ref="D168:D173">ROUND(0.95*D158,4)</f>
        <v>0.0746</v>
      </c>
      <c r="E168" s="22">
        <f aca="true" t="shared" si="44" ref="E168:E173">ROUND(0.95*E158,0)</f>
        <v>0</v>
      </c>
      <c r="F168" s="23"/>
      <c r="G168" s="22">
        <v>0</v>
      </c>
      <c r="H168" s="22">
        <f aca="true" t="shared" si="45" ref="H168:H173">ROUND(0.95*H158,1)</f>
        <v>1.8</v>
      </c>
      <c r="I168" s="120">
        <f aca="true" t="shared" si="46" ref="I168:I173">ROUND(0.95*I158,4)</f>
        <v>0.0746</v>
      </c>
      <c r="J168" s="24">
        <f aca="true" t="shared" si="47" ref="J168:J173">ROUND(0.95*J158,0)</f>
        <v>0</v>
      </c>
      <c r="O168" s="281"/>
      <c r="P168" s="278"/>
      <c r="Q168" s="278"/>
      <c r="R168" s="278"/>
      <c r="S168" s="282"/>
    </row>
    <row r="169" spans="2:19" ht="11.25">
      <c r="B169" s="21">
        <v>2000</v>
      </c>
      <c r="C169" s="22">
        <f t="shared" si="42"/>
        <v>7.1</v>
      </c>
      <c r="D169" s="22">
        <f t="shared" si="43"/>
        <v>0.0727</v>
      </c>
      <c r="E169" s="22">
        <f t="shared" si="44"/>
        <v>27</v>
      </c>
      <c r="F169" s="23"/>
      <c r="G169" s="22">
        <v>2000</v>
      </c>
      <c r="H169" s="22">
        <f t="shared" si="45"/>
        <v>7.1</v>
      </c>
      <c r="I169" s="120">
        <f t="shared" si="46"/>
        <v>0.0727</v>
      </c>
      <c r="J169" s="24">
        <f t="shared" si="47"/>
        <v>27</v>
      </c>
      <c r="O169" s="281"/>
      <c r="P169" s="278"/>
      <c r="Q169" s="278"/>
      <c r="R169" s="278"/>
      <c r="S169" s="282"/>
    </row>
    <row r="170" spans="2:19" ht="11.25">
      <c r="B170" s="21">
        <v>10000</v>
      </c>
      <c r="C170" s="22">
        <f t="shared" si="42"/>
        <v>83</v>
      </c>
      <c r="D170" s="22">
        <f t="shared" si="43"/>
        <v>0.0624</v>
      </c>
      <c r="E170" s="22">
        <f t="shared" si="44"/>
        <v>-333</v>
      </c>
      <c r="F170" s="23"/>
      <c r="G170" s="22">
        <v>10000</v>
      </c>
      <c r="H170" s="22">
        <f t="shared" si="45"/>
        <v>83</v>
      </c>
      <c r="I170" s="120">
        <f t="shared" si="46"/>
        <v>0.0624</v>
      </c>
      <c r="J170" s="24">
        <f t="shared" si="47"/>
        <v>-333</v>
      </c>
      <c r="O170" s="281"/>
      <c r="P170" s="278"/>
      <c r="Q170" s="278"/>
      <c r="R170" s="278"/>
      <c r="S170" s="282"/>
    </row>
    <row r="171" spans="2:19" ht="11.25">
      <c r="B171" s="21">
        <v>20000</v>
      </c>
      <c r="C171" s="22">
        <f t="shared" si="42"/>
        <v>186.2</v>
      </c>
      <c r="D171" s="22">
        <f t="shared" si="43"/>
        <v>0.0482</v>
      </c>
      <c r="E171" s="22">
        <f t="shared" si="44"/>
        <v>-966</v>
      </c>
      <c r="F171" s="23"/>
      <c r="G171" s="22">
        <v>20000</v>
      </c>
      <c r="H171" s="22">
        <f t="shared" si="45"/>
        <v>186.2</v>
      </c>
      <c r="I171" s="120">
        <f t="shared" si="46"/>
        <v>0.0482</v>
      </c>
      <c r="J171" s="24">
        <f t="shared" si="47"/>
        <v>-966</v>
      </c>
      <c r="O171" s="281"/>
      <c r="P171" s="278"/>
      <c r="Q171" s="278"/>
      <c r="R171" s="278"/>
      <c r="S171" s="282"/>
    </row>
    <row r="172" spans="2:19" ht="11.25">
      <c r="B172" s="21">
        <v>40000</v>
      </c>
      <c r="C172" s="22">
        <f t="shared" si="42"/>
        <v>303.1</v>
      </c>
      <c r="D172" s="22">
        <f t="shared" si="43"/>
        <v>0.037</v>
      </c>
      <c r="E172" s="22">
        <f t="shared" si="44"/>
        <v>-1729</v>
      </c>
      <c r="F172" s="23"/>
      <c r="G172" s="22">
        <v>40000</v>
      </c>
      <c r="H172" s="22">
        <f t="shared" si="45"/>
        <v>303.1</v>
      </c>
      <c r="I172" s="120">
        <f t="shared" si="46"/>
        <v>0.037</v>
      </c>
      <c r="J172" s="29">
        <f t="shared" si="47"/>
        <v>-1729</v>
      </c>
      <c r="O172" s="281"/>
      <c r="P172" s="278"/>
      <c r="Q172" s="278"/>
      <c r="R172" s="278"/>
      <c r="S172" s="282"/>
    </row>
    <row r="173" spans="2:19" ht="11.25">
      <c r="B173" s="21">
        <v>80000</v>
      </c>
      <c r="C173" s="22">
        <f t="shared" si="42"/>
        <v>385.1</v>
      </c>
      <c r="D173" s="22">
        <f t="shared" si="43"/>
        <v>0.0434</v>
      </c>
      <c r="E173" s="22">
        <f t="shared" si="44"/>
        <v>-2305</v>
      </c>
      <c r="F173" s="23"/>
      <c r="G173" s="22">
        <v>80000</v>
      </c>
      <c r="H173" s="22">
        <f t="shared" si="45"/>
        <v>385.1</v>
      </c>
      <c r="I173" s="120">
        <f t="shared" si="46"/>
        <v>0.0434</v>
      </c>
      <c r="J173" s="24">
        <f t="shared" si="47"/>
        <v>-2305</v>
      </c>
      <c r="O173" s="281"/>
      <c r="P173" s="278"/>
      <c r="Q173" s="278"/>
      <c r="R173" s="278"/>
      <c r="S173" s="282"/>
    </row>
    <row r="174" spans="2:19" ht="12" thickBot="1">
      <c r="B174" s="26"/>
      <c r="C174" s="27"/>
      <c r="D174" s="27"/>
      <c r="E174" s="27"/>
      <c r="F174" s="27"/>
      <c r="G174" s="27"/>
      <c r="H174" s="27"/>
      <c r="I174" s="27"/>
      <c r="J174" s="28"/>
      <c r="O174" s="283"/>
      <c r="P174" s="284"/>
      <c r="Q174" s="284"/>
      <c r="R174" s="284"/>
      <c r="S174" s="285"/>
    </row>
    <row r="175" ht="12" thickBot="1"/>
    <row r="176" spans="2:19" ht="11.25">
      <c r="B176" s="17" t="s">
        <v>345</v>
      </c>
      <c r="C176" s="18">
        <f>C166+1</f>
        <v>117</v>
      </c>
      <c r="D176" s="18">
        <v>1.1</v>
      </c>
      <c r="E176" s="18">
        <v>0.072</v>
      </c>
      <c r="F176" s="19">
        <v>50</v>
      </c>
      <c r="G176" s="19">
        <f>1+G166</f>
        <v>117</v>
      </c>
      <c r="H176" s="18"/>
      <c r="I176" s="18">
        <v>1.1</v>
      </c>
      <c r="J176" s="20">
        <f>E176</f>
        <v>0.072</v>
      </c>
      <c r="L176" s="34">
        <f ca="1">OFFSET(RecognisedList,$G176+2,0)</f>
        <v>0</v>
      </c>
      <c r="M176" s="35">
        <f ca="1">OFFSET(RecognisedList,$G176+2,1)</f>
        <v>0</v>
      </c>
      <c r="O176" s="299">
        <v>2.5</v>
      </c>
      <c r="P176" s="279">
        <v>10</v>
      </c>
      <c r="Q176" s="279">
        <v>80</v>
      </c>
      <c r="R176" s="279">
        <v>12</v>
      </c>
      <c r="S176" s="280">
        <v>2</v>
      </c>
    </row>
    <row r="177" spans="2:19" ht="11.25">
      <c r="B177" s="21" t="s">
        <v>26</v>
      </c>
      <c r="C177" s="22" t="s">
        <v>11</v>
      </c>
      <c r="D177" s="22" t="s">
        <v>12</v>
      </c>
      <c r="E177" s="22" t="s">
        <v>81</v>
      </c>
      <c r="F177" s="23"/>
      <c r="G177" s="22" t="s">
        <v>26</v>
      </c>
      <c r="H177" s="22" t="s">
        <v>11</v>
      </c>
      <c r="I177" s="22" t="s">
        <v>12</v>
      </c>
      <c r="J177" s="24" t="s">
        <v>81</v>
      </c>
      <c r="L177" s="36">
        <f ca="1">OFFSET(RecognisedList,$G176+2,3)</f>
        <v>0</v>
      </c>
      <c r="M177" s="37">
        <f ca="1">OFFSET(RecognisedList,$G176+2,2)</f>
        <v>0</v>
      </c>
      <c r="O177" s="281"/>
      <c r="P177" s="278"/>
      <c r="Q177" s="278"/>
      <c r="R177" s="278"/>
      <c r="S177" s="282"/>
    </row>
    <row r="178" spans="2:19" ht="11.25">
      <c r="B178" s="21">
        <v>0</v>
      </c>
      <c r="C178" s="22">
        <v>1.9</v>
      </c>
      <c r="D178" s="22">
        <v>0.0785</v>
      </c>
      <c r="E178" s="22">
        <v>0</v>
      </c>
      <c r="F178" s="23"/>
      <c r="G178" s="22">
        <v>0</v>
      </c>
      <c r="H178" s="22">
        <v>1.9</v>
      </c>
      <c r="I178" s="120">
        <v>0.0785</v>
      </c>
      <c r="J178" s="24">
        <v>0</v>
      </c>
      <c r="O178" s="281"/>
      <c r="P178" s="278"/>
      <c r="Q178" s="278"/>
      <c r="R178" s="278"/>
      <c r="S178" s="282"/>
    </row>
    <row r="179" spans="2:19" ht="11.25">
      <c r="B179" s="21">
        <v>2000</v>
      </c>
      <c r="C179" s="22">
        <v>7.5</v>
      </c>
      <c r="D179" s="22">
        <v>0.0765</v>
      </c>
      <c r="E179" s="22">
        <v>28</v>
      </c>
      <c r="F179" s="23"/>
      <c r="G179" s="22">
        <v>2000</v>
      </c>
      <c r="H179" s="22">
        <v>7.5</v>
      </c>
      <c r="I179" s="120">
        <v>0.0765</v>
      </c>
      <c r="J179" s="24">
        <v>28</v>
      </c>
      <c r="O179" s="281"/>
      <c r="P179" s="278"/>
      <c r="Q179" s="278"/>
      <c r="R179" s="278"/>
      <c r="S179" s="282"/>
    </row>
    <row r="180" spans="2:19" ht="11.25">
      <c r="B180" s="21">
        <v>10000</v>
      </c>
      <c r="C180" s="22">
        <v>87.4</v>
      </c>
      <c r="D180" s="22">
        <v>0.0657</v>
      </c>
      <c r="E180" s="22">
        <v>-350</v>
      </c>
      <c r="F180" s="23"/>
      <c r="G180" s="22">
        <v>10000</v>
      </c>
      <c r="H180" s="22">
        <v>87.4</v>
      </c>
      <c r="I180" s="120">
        <v>0.0657</v>
      </c>
      <c r="J180" s="24">
        <v>-350</v>
      </c>
      <c r="O180" s="281"/>
      <c r="P180" s="278"/>
      <c r="Q180" s="278"/>
      <c r="R180" s="278"/>
      <c r="S180" s="282"/>
    </row>
    <row r="181" spans="2:19" ht="11.25">
      <c r="B181" s="21">
        <v>20000</v>
      </c>
      <c r="C181" s="22">
        <v>196</v>
      </c>
      <c r="D181" s="22">
        <v>0.0507</v>
      </c>
      <c r="E181" s="22">
        <v>-1017</v>
      </c>
      <c r="F181" s="23"/>
      <c r="G181" s="22">
        <v>20000</v>
      </c>
      <c r="H181" s="22">
        <v>196</v>
      </c>
      <c r="I181" s="120">
        <v>0.0507</v>
      </c>
      <c r="J181" s="24">
        <v>-1017</v>
      </c>
      <c r="O181" s="281"/>
      <c r="P181" s="278"/>
      <c r="Q181" s="278"/>
      <c r="R181" s="278"/>
      <c r="S181" s="282"/>
    </row>
    <row r="182" spans="2:19" ht="11.25">
      <c r="B182" s="21">
        <v>40000</v>
      </c>
      <c r="C182" s="22">
        <v>319.1</v>
      </c>
      <c r="D182" s="22">
        <v>0.0389</v>
      </c>
      <c r="E182" s="25">
        <v>-1820</v>
      </c>
      <c r="F182" s="23"/>
      <c r="G182" s="22">
        <v>40000</v>
      </c>
      <c r="H182" s="22">
        <v>319.1</v>
      </c>
      <c r="I182" s="120">
        <v>0.0389</v>
      </c>
      <c r="J182" s="29">
        <v>-1820</v>
      </c>
      <c r="O182" s="281"/>
      <c r="P182" s="278"/>
      <c r="Q182" s="278"/>
      <c r="R182" s="278"/>
      <c r="S182" s="282"/>
    </row>
    <row r="183" spans="2:19" ht="11.25">
      <c r="B183" s="21">
        <v>80000</v>
      </c>
      <c r="C183" s="22">
        <v>405.4</v>
      </c>
      <c r="D183" s="22">
        <v>0.0457</v>
      </c>
      <c r="E183" s="22">
        <v>-2426</v>
      </c>
      <c r="F183" s="23"/>
      <c r="G183" s="22">
        <v>80000</v>
      </c>
      <c r="H183" s="22">
        <v>405.4</v>
      </c>
      <c r="I183" s="120">
        <v>0.0457</v>
      </c>
      <c r="J183" s="24">
        <v>-2426</v>
      </c>
      <c r="O183" s="281"/>
      <c r="P183" s="278"/>
      <c r="Q183" s="278"/>
      <c r="R183" s="278"/>
      <c r="S183" s="282"/>
    </row>
    <row r="184" spans="2:19" ht="12" thickBot="1">
      <c r="B184" s="26"/>
      <c r="C184" s="27"/>
      <c r="D184" s="27"/>
      <c r="E184" s="27"/>
      <c r="F184" s="27"/>
      <c r="G184" s="27"/>
      <c r="H184" s="27"/>
      <c r="I184" s="27"/>
      <c r="J184" s="28"/>
      <c r="O184" s="283"/>
      <c r="P184" s="284"/>
      <c r="Q184" s="284"/>
      <c r="R184" s="284"/>
      <c r="S184" s="285"/>
    </row>
    <row r="185" ht="12" thickBot="1"/>
    <row r="186" spans="2:19" ht="11.25">
      <c r="B186" s="17" t="s">
        <v>344</v>
      </c>
      <c r="C186" s="18">
        <f>C176+1</f>
        <v>118</v>
      </c>
      <c r="D186" s="18">
        <v>1.1</v>
      </c>
      <c r="E186" s="18">
        <f>ROUND(E176*0.95,4)</f>
        <v>0.0684</v>
      </c>
      <c r="F186" s="19">
        <v>50</v>
      </c>
      <c r="G186" s="19">
        <f>1+G176</f>
        <v>118</v>
      </c>
      <c r="H186" s="18"/>
      <c r="I186" s="18">
        <v>1.1</v>
      </c>
      <c r="J186" s="20">
        <f>E186</f>
        <v>0.0684</v>
      </c>
      <c r="L186" s="34">
        <f ca="1">OFFSET(RecognisedList,$G186+2,0)</f>
        <v>0</v>
      </c>
      <c r="M186" s="35">
        <f ca="1">OFFSET(RecognisedList,$G186+2,1)</f>
        <v>0</v>
      </c>
      <c r="O186" s="299">
        <v>2.5</v>
      </c>
      <c r="P186" s="279">
        <v>10</v>
      </c>
      <c r="Q186" s="279">
        <v>80</v>
      </c>
      <c r="R186" s="279">
        <v>12</v>
      </c>
      <c r="S186" s="280">
        <v>2</v>
      </c>
    </row>
    <row r="187" spans="2:19" ht="11.25">
      <c r="B187" s="21" t="s">
        <v>26</v>
      </c>
      <c r="C187" s="22" t="s">
        <v>11</v>
      </c>
      <c r="D187" s="22" t="s">
        <v>12</v>
      </c>
      <c r="E187" s="22" t="s">
        <v>81</v>
      </c>
      <c r="F187" s="23"/>
      <c r="G187" s="22" t="s">
        <v>26</v>
      </c>
      <c r="H187" s="22" t="s">
        <v>11</v>
      </c>
      <c r="I187" s="22" t="s">
        <v>12</v>
      </c>
      <c r="J187" s="24" t="s">
        <v>81</v>
      </c>
      <c r="L187" s="36">
        <f ca="1">OFFSET(RecognisedList,$G186+2,3)</f>
        <v>0</v>
      </c>
      <c r="M187" s="37">
        <f ca="1">OFFSET(RecognisedList,$G186+2,2)</f>
        <v>0</v>
      </c>
      <c r="O187" s="281"/>
      <c r="P187" s="278"/>
      <c r="Q187" s="278"/>
      <c r="R187" s="278"/>
      <c r="S187" s="282"/>
    </row>
    <row r="188" spans="2:19" ht="11.25">
      <c r="B188" s="21">
        <v>0</v>
      </c>
      <c r="C188" s="22">
        <f aca="true" t="shared" si="48" ref="C188:C193">ROUND(0.95*C178,1)</f>
        <v>1.8</v>
      </c>
      <c r="D188" s="22">
        <f aca="true" t="shared" si="49" ref="D188:D193">ROUND(0.95*D178,4)</f>
        <v>0.0746</v>
      </c>
      <c r="E188" s="22">
        <f aca="true" t="shared" si="50" ref="E188:E193">ROUND(0.95*E178,0)</f>
        <v>0</v>
      </c>
      <c r="F188" s="23"/>
      <c r="G188" s="22">
        <v>0</v>
      </c>
      <c r="H188" s="22">
        <f aca="true" t="shared" si="51" ref="H188:H193">ROUND(0.95*H178,1)</f>
        <v>1.8</v>
      </c>
      <c r="I188" s="120">
        <f aca="true" t="shared" si="52" ref="I188:I193">ROUND(0.95*I178,4)</f>
        <v>0.0746</v>
      </c>
      <c r="J188" s="24">
        <f aca="true" t="shared" si="53" ref="J188:J193">ROUND(0.95*J178,0)</f>
        <v>0</v>
      </c>
      <c r="O188" s="281"/>
      <c r="P188" s="278"/>
      <c r="Q188" s="278"/>
      <c r="R188" s="278"/>
      <c r="S188" s="282"/>
    </row>
    <row r="189" spans="2:19" ht="11.25">
      <c r="B189" s="21">
        <v>2000</v>
      </c>
      <c r="C189" s="22">
        <f t="shared" si="48"/>
        <v>7.1</v>
      </c>
      <c r="D189" s="22">
        <f t="shared" si="49"/>
        <v>0.0727</v>
      </c>
      <c r="E189" s="22">
        <f t="shared" si="50"/>
        <v>27</v>
      </c>
      <c r="F189" s="23"/>
      <c r="G189" s="22">
        <v>2000</v>
      </c>
      <c r="H189" s="22">
        <f t="shared" si="51"/>
        <v>7.1</v>
      </c>
      <c r="I189" s="120">
        <f t="shared" si="52"/>
        <v>0.0727</v>
      </c>
      <c r="J189" s="24">
        <f t="shared" si="53"/>
        <v>27</v>
      </c>
      <c r="O189" s="281"/>
      <c r="P189" s="278"/>
      <c r="Q189" s="278"/>
      <c r="R189" s="278"/>
      <c r="S189" s="282"/>
    </row>
    <row r="190" spans="2:19" ht="11.25">
      <c r="B190" s="21">
        <v>10000</v>
      </c>
      <c r="C190" s="22">
        <f t="shared" si="48"/>
        <v>83</v>
      </c>
      <c r="D190" s="22">
        <f t="shared" si="49"/>
        <v>0.0624</v>
      </c>
      <c r="E190" s="22">
        <f t="shared" si="50"/>
        <v>-333</v>
      </c>
      <c r="F190" s="23"/>
      <c r="G190" s="22">
        <v>10000</v>
      </c>
      <c r="H190" s="22">
        <f t="shared" si="51"/>
        <v>83</v>
      </c>
      <c r="I190" s="120">
        <f t="shared" si="52"/>
        <v>0.0624</v>
      </c>
      <c r="J190" s="24">
        <f t="shared" si="53"/>
        <v>-333</v>
      </c>
      <c r="O190" s="281"/>
      <c r="P190" s="278"/>
      <c r="Q190" s="278"/>
      <c r="R190" s="278"/>
      <c r="S190" s="282"/>
    </row>
    <row r="191" spans="2:19" ht="11.25">
      <c r="B191" s="21">
        <v>20000</v>
      </c>
      <c r="C191" s="22">
        <f t="shared" si="48"/>
        <v>186.2</v>
      </c>
      <c r="D191" s="22">
        <f t="shared" si="49"/>
        <v>0.0482</v>
      </c>
      <c r="E191" s="22">
        <f t="shared" si="50"/>
        <v>-966</v>
      </c>
      <c r="F191" s="23"/>
      <c r="G191" s="22">
        <v>20000</v>
      </c>
      <c r="H191" s="22">
        <f t="shared" si="51"/>
        <v>186.2</v>
      </c>
      <c r="I191" s="120">
        <f t="shared" si="52"/>
        <v>0.0482</v>
      </c>
      <c r="J191" s="24">
        <f t="shared" si="53"/>
        <v>-966</v>
      </c>
      <c r="O191" s="281"/>
      <c r="P191" s="278"/>
      <c r="Q191" s="278"/>
      <c r="R191" s="278"/>
      <c r="S191" s="282"/>
    </row>
    <row r="192" spans="2:19" ht="11.25">
      <c r="B192" s="21">
        <v>40000</v>
      </c>
      <c r="C192" s="22">
        <f t="shared" si="48"/>
        <v>303.1</v>
      </c>
      <c r="D192" s="22">
        <f t="shared" si="49"/>
        <v>0.037</v>
      </c>
      <c r="E192" s="22">
        <f t="shared" si="50"/>
        <v>-1729</v>
      </c>
      <c r="F192" s="23"/>
      <c r="G192" s="22">
        <v>40000</v>
      </c>
      <c r="H192" s="22">
        <f t="shared" si="51"/>
        <v>303.1</v>
      </c>
      <c r="I192" s="120">
        <f t="shared" si="52"/>
        <v>0.037</v>
      </c>
      <c r="J192" s="29">
        <f t="shared" si="53"/>
        <v>-1729</v>
      </c>
      <c r="O192" s="281"/>
      <c r="P192" s="278"/>
      <c r="Q192" s="278"/>
      <c r="R192" s="278"/>
      <c r="S192" s="282"/>
    </row>
    <row r="193" spans="2:19" ht="11.25">
      <c r="B193" s="21">
        <v>80000</v>
      </c>
      <c r="C193" s="22">
        <f t="shared" si="48"/>
        <v>385.1</v>
      </c>
      <c r="D193" s="22">
        <f t="shared" si="49"/>
        <v>0.0434</v>
      </c>
      <c r="E193" s="22">
        <f t="shared" si="50"/>
        <v>-2305</v>
      </c>
      <c r="F193" s="23"/>
      <c r="G193" s="22">
        <v>80000</v>
      </c>
      <c r="H193" s="22">
        <f t="shared" si="51"/>
        <v>385.1</v>
      </c>
      <c r="I193" s="120">
        <f t="shared" si="52"/>
        <v>0.0434</v>
      </c>
      <c r="J193" s="24">
        <f t="shared" si="53"/>
        <v>-2305</v>
      </c>
      <c r="O193" s="281"/>
      <c r="P193" s="278"/>
      <c r="Q193" s="278"/>
      <c r="R193" s="278"/>
      <c r="S193" s="282"/>
    </row>
    <row r="194" spans="2:19" ht="12" thickBot="1">
      <c r="B194" s="26"/>
      <c r="C194" s="27"/>
      <c r="D194" s="27"/>
      <c r="E194" s="27"/>
      <c r="F194" s="27"/>
      <c r="G194" s="27"/>
      <c r="H194" s="27"/>
      <c r="I194" s="27"/>
      <c r="J194" s="28"/>
      <c r="O194" s="283"/>
      <c r="P194" s="284"/>
      <c r="Q194" s="284"/>
      <c r="R194" s="284"/>
      <c r="S194" s="285"/>
    </row>
    <row r="195" ht="12" thickBot="1"/>
    <row r="196" spans="2:19" ht="11.25">
      <c r="B196" s="17" t="s">
        <v>242</v>
      </c>
      <c r="C196" s="18">
        <f>C186+1</f>
        <v>119</v>
      </c>
      <c r="D196" s="18">
        <v>0.6</v>
      </c>
      <c r="E196" s="18">
        <v>0.072</v>
      </c>
      <c r="F196" s="19">
        <v>24</v>
      </c>
      <c r="G196" s="19">
        <f>1+G186</f>
        <v>119</v>
      </c>
      <c r="H196" s="18"/>
      <c r="I196" s="18">
        <v>0.6</v>
      </c>
      <c r="J196" s="20">
        <f>E196</f>
        <v>0.072</v>
      </c>
      <c r="L196" s="34">
        <f ca="1">OFFSET(RecognisedList,$G196+2,0)</f>
        <v>0</v>
      </c>
      <c r="M196" s="35">
        <f ca="1">OFFSET(RecognisedList,$G196+2,1)</f>
        <v>0</v>
      </c>
      <c r="O196" s="299">
        <v>2.5</v>
      </c>
      <c r="P196" s="279">
        <v>10</v>
      </c>
      <c r="Q196" s="279">
        <v>80</v>
      </c>
      <c r="R196" s="279">
        <v>12</v>
      </c>
      <c r="S196" s="280">
        <v>2</v>
      </c>
    </row>
    <row r="197" spans="2:19" ht="11.25">
      <c r="B197" s="21" t="s">
        <v>26</v>
      </c>
      <c r="C197" s="22" t="s">
        <v>11</v>
      </c>
      <c r="D197" s="22" t="s">
        <v>12</v>
      </c>
      <c r="E197" s="22" t="s">
        <v>81</v>
      </c>
      <c r="F197" s="23"/>
      <c r="G197" s="22" t="s">
        <v>26</v>
      </c>
      <c r="H197" s="22" t="s">
        <v>11</v>
      </c>
      <c r="I197" s="22" t="s">
        <v>12</v>
      </c>
      <c r="J197" s="24" t="s">
        <v>81</v>
      </c>
      <c r="L197" s="36">
        <f ca="1">OFFSET(RecognisedList,$G196+2,3)</f>
        <v>0</v>
      </c>
      <c r="M197" s="37">
        <f ca="1">OFFSET(RecognisedList,$G196+2,2)</f>
        <v>0</v>
      </c>
      <c r="O197" s="281"/>
      <c r="P197" s="278"/>
      <c r="Q197" s="278"/>
      <c r="R197" s="278"/>
      <c r="S197" s="282"/>
    </row>
    <row r="198" spans="2:19" ht="11.25">
      <c r="B198" s="21">
        <v>0</v>
      </c>
      <c r="C198" s="22">
        <v>1.9</v>
      </c>
      <c r="D198" s="22">
        <v>0.0785</v>
      </c>
      <c r="E198" s="22">
        <v>0</v>
      </c>
      <c r="F198" s="23"/>
      <c r="G198" s="22">
        <v>0</v>
      </c>
      <c r="H198" s="22">
        <v>1.9</v>
      </c>
      <c r="I198" s="120">
        <v>0.0785</v>
      </c>
      <c r="J198" s="24">
        <v>0</v>
      </c>
      <c r="O198" s="281"/>
      <c r="P198" s="278"/>
      <c r="Q198" s="278"/>
      <c r="R198" s="278"/>
      <c r="S198" s="282"/>
    </row>
    <row r="199" spans="2:19" ht="11.25">
      <c r="B199" s="21">
        <v>2000</v>
      </c>
      <c r="C199" s="22">
        <v>7.5</v>
      </c>
      <c r="D199" s="22">
        <v>0.0765</v>
      </c>
      <c r="E199" s="22">
        <v>28</v>
      </c>
      <c r="F199" s="23"/>
      <c r="G199" s="22">
        <v>2000</v>
      </c>
      <c r="H199" s="22">
        <v>7.5</v>
      </c>
      <c r="I199" s="120">
        <v>0.0765</v>
      </c>
      <c r="J199" s="24">
        <v>28</v>
      </c>
      <c r="O199" s="281"/>
      <c r="P199" s="278"/>
      <c r="Q199" s="278"/>
      <c r="R199" s="278"/>
      <c r="S199" s="282"/>
    </row>
    <row r="200" spans="2:19" ht="11.25">
      <c r="B200" s="21">
        <v>10000</v>
      </c>
      <c r="C200" s="22">
        <v>87.4</v>
      </c>
      <c r="D200" s="22">
        <v>0.0657</v>
      </c>
      <c r="E200" s="22">
        <v>-350</v>
      </c>
      <c r="F200" s="23"/>
      <c r="G200" s="22">
        <v>10000</v>
      </c>
      <c r="H200" s="22">
        <v>87.4</v>
      </c>
      <c r="I200" s="120">
        <v>0.0657</v>
      </c>
      <c r="J200" s="24">
        <v>-350</v>
      </c>
      <c r="O200" s="281"/>
      <c r="P200" s="278"/>
      <c r="Q200" s="278"/>
      <c r="R200" s="278"/>
      <c r="S200" s="282"/>
    </row>
    <row r="201" spans="2:19" ht="11.25">
      <c r="B201" s="21">
        <v>20000</v>
      </c>
      <c r="C201" s="22">
        <v>196</v>
      </c>
      <c r="D201" s="22">
        <v>0.0507</v>
      </c>
      <c r="E201" s="22">
        <v>-1017</v>
      </c>
      <c r="F201" s="23"/>
      <c r="G201" s="22">
        <v>20000</v>
      </c>
      <c r="H201" s="22">
        <v>196</v>
      </c>
      <c r="I201" s="120">
        <v>0.0507</v>
      </c>
      <c r="J201" s="24">
        <v>-1017</v>
      </c>
      <c r="O201" s="281"/>
      <c r="P201" s="278"/>
      <c r="Q201" s="278"/>
      <c r="R201" s="278"/>
      <c r="S201" s="282"/>
    </row>
    <row r="202" spans="2:19" ht="11.25">
      <c r="B202" s="21">
        <v>40000</v>
      </c>
      <c r="C202" s="22">
        <v>319.1</v>
      </c>
      <c r="D202" s="22">
        <v>0.0389</v>
      </c>
      <c r="E202" s="25">
        <v>-1820</v>
      </c>
      <c r="F202" s="23"/>
      <c r="G202" s="22">
        <v>40000</v>
      </c>
      <c r="H202" s="22">
        <v>319.1</v>
      </c>
      <c r="I202" s="120">
        <v>0.0389</v>
      </c>
      <c r="J202" s="29">
        <v>-1820</v>
      </c>
      <c r="O202" s="281"/>
      <c r="P202" s="278"/>
      <c r="Q202" s="278"/>
      <c r="R202" s="278"/>
      <c r="S202" s="282"/>
    </row>
    <row r="203" spans="2:19" ht="11.25">
      <c r="B203" s="21">
        <v>80000</v>
      </c>
      <c r="C203" s="22">
        <v>405.4</v>
      </c>
      <c r="D203" s="22">
        <v>0.0457</v>
      </c>
      <c r="E203" s="22">
        <v>-2426</v>
      </c>
      <c r="F203" s="23"/>
      <c r="G203" s="22">
        <v>80000</v>
      </c>
      <c r="H203" s="22">
        <v>405.4</v>
      </c>
      <c r="I203" s="120">
        <v>0.0457</v>
      </c>
      <c r="J203" s="24">
        <v>-2426</v>
      </c>
      <c r="O203" s="281"/>
      <c r="P203" s="278"/>
      <c r="Q203" s="278"/>
      <c r="R203" s="278"/>
      <c r="S203" s="282"/>
    </row>
    <row r="204" spans="2:19" ht="12" thickBot="1">
      <c r="B204" s="26"/>
      <c r="C204" s="27"/>
      <c r="D204" s="27"/>
      <c r="E204" s="27"/>
      <c r="F204" s="27"/>
      <c r="G204" s="27"/>
      <c r="H204" s="27"/>
      <c r="I204" s="27"/>
      <c r="J204" s="28"/>
      <c r="O204" s="283"/>
      <c r="P204" s="284"/>
      <c r="Q204" s="284"/>
      <c r="R204" s="284"/>
      <c r="S204" s="285"/>
    </row>
    <row r="205" ht="12" thickBot="1"/>
    <row r="206" spans="2:19" ht="11.25">
      <c r="B206" s="17" t="s">
        <v>243</v>
      </c>
      <c r="C206" s="18">
        <f>C196+1</f>
        <v>120</v>
      </c>
      <c r="D206" s="18">
        <v>0.6</v>
      </c>
      <c r="E206" s="18">
        <f>ROUND(E196*0.95,4)</f>
        <v>0.0684</v>
      </c>
      <c r="F206" s="19">
        <v>24</v>
      </c>
      <c r="G206" s="19">
        <f>1+G196</f>
        <v>120</v>
      </c>
      <c r="H206" s="18"/>
      <c r="I206" s="18">
        <v>0.6</v>
      </c>
      <c r="J206" s="20">
        <f>E206</f>
        <v>0.0684</v>
      </c>
      <c r="L206" s="34">
        <f ca="1">OFFSET(RecognisedList,$G206+2,0)</f>
        <v>0</v>
      </c>
      <c r="M206" s="35">
        <f ca="1">OFFSET(RecognisedList,$G206+2,1)</f>
        <v>0</v>
      </c>
      <c r="O206" s="299">
        <v>2.5</v>
      </c>
      <c r="P206" s="279">
        <v>10</v>
      </c>
      <c r="Q206" s="279">
        <v>80</v>
      </c>
      <c r="R206" s="279">
        <v>12</v>
      </c>
      <c r="S206" s="280">
        <v>2</v>
      </c>
    </row>
    <row r="207" spans="2:19" ht="11.25">
      <c r="B207" s="21" t="s">
        <v>26</v>
      </c>
      <c r="C207" s="22" t="s">
        <v>11</v>
      </c>
      <c r="D207" s="22" t="s">
        <v>12</v>
      </c>
      <c r="E207" s="22" t="s">
        <v>81</v>
      </c>
      <c r="F207" s="23"/>
      <c r="G207" s="22" t="s">
        <v>26</v>
      </c>
      <c r="H207" s="22" t="s">
        <v>11</v>
      </c>
      <c r="I207" s="22" t="s">
        <v>12</v>
      </c>
      <c r="J207" s="24" t="s">
        <v>81</v>
      </c>
      <c r="L207" s="36">
        <f ca="1">OFFSET(RecognisedList,$G206+2,3)</f>
        <v>0</v>
      </c>
      <c r="M207" s="37">
        <f ca="1">OFFSET(RecognisedList,$G206+2,2)</f>
        <v>0</v>
      </c>
      <c r="O207" s="281"/>
      <c r="P207" s="278"/>
      <c r="Q207" s="278"/>
      <c r="R207" s="278"/>
      <c r="S207" s="282"/>
    </row>
    <row r="208" spans="2:19" ht="11.25">
      <c r="B208" s="21">
        <v>0</v>
      </c>
      <c r="C208" s="22">
        <f aca="true" t="shared" si="54" ref="C208:C213">ROUND(0.95*C198,1)</f>
        <v>1.8</v>
      </c>
      <c r="D208" s="22">
        <f aca="true" t="shared" si="55" ref="D208:D213">ROUND(0.95*D198,4)</f>
        <v>0.0746</v>
      </c>
      <c r="E208" s="22">
        <f aca="true" t="shared" si="56" ref="E208:E213">ROUND(0.95*E198,0)</f>
        <v>0</v>
      </c>
      <c r="F208" s="23"/>
      <c r="G208" s="22">
        <v>0</v>
      </c>
      <c r="H208" s="22">
        <f aca="true" t="shared" si="57" ref="H208:H213">ROUND(0.95*H198,1)</f>
        <v>1.8</v>
      </c>
      <c r="I208" s="120">
        <f aca="true" t="shared" si="58" ref="I208:I213">ROUND(0.95*I198,4)</f>
        <v>0.0746</v>
      </c>
      <c r="J208" s="24">
        <f aca="true" t="shared" si="59" ref="J208:J213">ROUND(0.95*J198,0)</f>
        <v>0</v>
      </c>
      <c r="O208" s="281"/>
      <c r="P208" s="278"/>
      <c r="Q208" s="278"/>
      <c r="R208" s="278"/>
      <c r="S208" s="282"/>
    </row>
    <row r="209" spans="2:19" ht="11.25">
      <c r="B209" s="21">
        <v>2000</v>
      </c>
      <c r="C209" s="22">
        <f t="shared" si="54"/>
        <v>7.1</v>
      </c>
      <c r="D209" s="22">
        <f t="shared" si="55"/>
        <v>0.0727</v>
      </c>
      <c r="E209" s="22">
        <f t="shared" si="56"/>
        <v>27</v>
      </c>
      <c r="F209" s="23"/>
      <c r="G209" s="22">
        <v>2000</v>
      </c>
      <c r="H209" s="22">
        <f t="shared" si="57"/>
        <v>7.1</v>
      </c>
      <c r="I209" s="120">
        <f t="shared" si="58"/>
        <v>0.0727</v>
      </c>
      <c r="J209" s="24">
        <f t="shared" si="59"/>
        <v>27</v>
      </c>
      <c r="O209" s="281"/>
      <c r="P209" s="278"/>
      <c r="Q209" s="278"/>
      <c r="R209" s="278"/>
      <c r="S209" s="282"/>
    </row>
    <row r="210" spans="2:19" ht="11.25">
      <c r="B210" s="21">
        <v>10000</v>
      </c>
      <c r="C210" s="22">
        <f t="shared" si="54"/>
        <v>83</v>
      </c>
      <c r="D210" s="22">
        <f t="shared" si="55"/>
        <v>0.0624</v>
      </c>
      <c r="E210" s="22">
        <f t="shared" si="56"/>
        <v>-333</v>
      </c>
      <c r="F210" s="23"/>
      <c r="G210" s="22">
        <v>10000</v>
      </c>
      <c r="H210" s="22">
        <f t="shared" si="57"/>
        <v>83</v>
      </c>
      <c r="I210" s="120">
        <f t="shared" si="58"/>
        <v>0.0624</v>
      </c>
      <c r="J210" s="24">
        <f t="shared" si="59"/>
        <v>-333</v>
      </c>
      <c r="O210" s="281"/>
      <c r="P210" s="278"/>
      <c r="Q210" s="278"/>
      <c r="R210" s="278"/>
      <c r="S210" s="282"/>
    </row>
    <row r="211" spans="2:19" ht="11.25">
      <c r="B211" s="21">
        <v>20000</v>
      </c>
      <c r="C211" s="22">
        <f t="shared" si="54"/>
        <v>186.2</v>
      </c>
      <c r="D211" s="22">
        <f t="shared" si="55"/>
        <v>0.0482</v>
      </c>
      <c r="E211" s="22">
        <f t="shared" si="56"/>
        <v>-966</v>
      </c>
      <c r="F211" s="23"/>
      <c r="G211" s="22">
        <v>20000</v>
      </c>
      <c r="H211" s="22">
        <f t="shared" si="57"/>
        <v>186.2</v>
      </c>
      <c r="I211" s="120">
        <f t="shared" si="58"/>
        <v>0.0482</v>
      </c>
      <c r="J211" s="24">
        <f t="shared" si="59"/>
        <v>-966</v>
      </c>
      <c r="O211" s="281"/>
      <c r="P211" s="278"/>
      <c r="Q211" s="278"/>
      <c r="R211" s="278"/>
      <c r="S211" s="282"/>
    </row>
    <row r="212" spans="2:19" ht="11.25">
      <c r="B212" s="21">
        <v>40000</v>
      </c>
      <c r="C212" s="22">
        <f t="shared" si="54"/>
        <v>303.1</v>
      </c>
      <c r="D212" s="22">
        <f t="shared" si="55"/>
        <v>0.037</v>
      </c>
      <c r="E212" s="22">
        <f t="shared" si="56"/>
        <v>-1729</v>
      </c>
      <c r="F212" s="23"/>
      <c r="G212" s="22">
        <v>40000</v>
      </c>
      <c r="H212" s="22">
        <f t="shared" si="57"/>
        <v>303.1</v>
      </c>
      <c r="I212" s="120">
        <f t="shared" si="58"/>
        <v>0.037</v>
      </c>
      <c r="J212" s="29">
        <f t="shared" si="59"/>
        <v>-1729</v>
      </c>
      <c r="O212" s="281"/>
      <c r="P212" s="278"/>
      <c r="Q212" s="278"/>
      <c r="R212" s="278"/>
      <c r="S212" s="282"/>
    </row>
    <row r="213" spans="2:19" ht="11.25">
      <c r="B213" s="21">
        <v>80000</v>
      </c>
      <c r="C213" s="22">
        <f t="shared" si="54"/>
        <v>385.1</v>
      </c>
      <c r="D213" s="22">
        <f t="shared" si="55"/>
        <v>0.0434</v>
      </c>
      <c r="E213" s="22">
        <f t="shared" si="56"/>
        <v>-2305</v>
      </c>
      <c r="F213" s="23"/>
      <c r="G213" s="22">
        <v>80000</v>
      </c>
      <c r="H213" s="22">
        <f t="shared" si="57"/>
        <v>385.1</v>
      </c>
      <c r="I213" s="120">
        <f t="shared" si="58"/>
        <v>0.0434</v>
      </c>
      <c r="J213" s="24">
        <f t="shared" si="59"/>
        <v>-2305</v>
      </c>
      <c r="O213" s="281"/>
      <c r="P213" s="278"/>
      <c r="Q213" s="278"/>
      <c r="R213" s="278"/>
      <c r="S213" s="282"/>
    </row>
    <row r="214" spans="2:19" ht="12" thickBot="1">
      <c r="B214" s="26"/>
      <c r="C214" s="27"/>
      <c r="D214" s="27"/>
      <c r="E214" s="27"/>
      <c r="F214" s="27"/>
      <c r="G214" s="27"/>
      <c r="H214" s="27"/>
      <c r="I214" s="27"/>
      <c r="J214" s="28"/>
      <c r="O214" s="283"/>
      <c r="P214" s="284"/>
      <c r="Q214" s="284"/>
      <c r="R214" s="284"/>
      <c r="S214" s="285"/>
    </row>
    <row r="215" ht="12" thickBot="1"/>
    <row r="216" spans="2:19" ht="11.25">
      <c r="B216" s="17" t="s">
        <v>244</v>
      </c>
      <c r="C216" s="18">
        <f>C206+1</f>
        <v>121</v>
      </c>
      <c r="D216" s="18">
        <v>1.1</v>
      </c>
      <c r="E216" s="18">
        <v>0.072</v>
      </c>
      <c r="F216" s="19">
        <v>50</v>
      </c>
      <c r="G216" s="19">
        <f>1+G206</f>
        <v>121</v>
      </c>
      <c r="H216" s="18"/>
      <c r="I216" s="18">
        <v>1.1</v>
      </c>
      <c r="J216" s="20">
        <f>E216</f>
        <v>0.072</v>
      </c>
      <c r="L216" s="34">
        <f ca="1">OFFSET(RecognisedList,$G216+2,0)</f>
        <v>0</v>
      </c>
      <c r="M216" s="35">
        <f ca="1">OFFSET(RecognisedList,$G216+2,1)</f>
        <v>0</v>
      </c>
      <c r="O216" s="299">
        <v>2.5</v>
      </c>
      <c r="P216" s="279">
        <v>10</v>
      </c>
      <c r="Q216" s="279">
        <v>80</v>
      </c>
      <c r="R216" s="279">
        <v>12</v>
      </c>
      <c r="S216" s="280">
        <v>2</v>
      </c>
    </row>
    <row r="217" spans="2:19" ht="11.25">
      <c r="B217" s="21" t="s">
        <v>26</v>
      </c>
      <c r="C217" s="22" t="s">
        <v>11</v>
      </c>
      <c r="D217" s="22" t="s">
        <v>12</v>
      </c>
      <c r="E217" s="22" t="s">
        <v>81</v>
      </c>
      <c r="F217" s="23"/>
      <c r="G217" s="22" t="s">
        <v>26</v>
      </c>
      <c r="H217" s="22" t="s">
        <v>11</v>
      </c>
      <c r="I217" s="22" t="s">
        <v>12</v>
      </c>
      <c r="J217" s="24" t="s">
        <v>81</v>
      </c>
      <c r="L217" s="36">
        <f ca="1">OFFSET(RecognisedList,$G216+2,3)</f>
        <v>0</v>
      </c>
      <c r="M217" s="37">
        <f ca="1">OFFSET(RecognisedList,$G216+2,2)</f>
        <v>0</v>
      </c>
      <c r="O217" s="281"/>
      <c r="P217" s="278"/>
      <c r="Q217" s="278"/>
      <c r="R217" s="278"/>
      <c r="S217" s="282"/>
    </row>
    <row r="218" spans="2:19" ht="11.25">
      <c r="B218" s="21">
        <v>0</v>
      </c>
      <c r="C218" s="22">
        <v>1.9</v>
      </c>
      <c r="D218" s="22">
        <v>0.0785</v>
      </c>
      <c r="E218" s="22">
        <v>0</v>
      </c>
      <c r="F218" s="23"/>
      <c r="G218" s="22">
        <v>0</v>
      </c>
      <c r="H218" s="22">
        <v>1.9</v>
      </c>
      <c r="I218" s="120">
        <v>0.0785</v>
      </c>
      <c r="J218" s="24">
        <v>0</v>
      </c>
      <c r="O218" s="281"/>
      <c r="P218" s="278"/>
      <c r="Q218" s="278"/>
      <c r="R218" s="278"/>
      <c r="S218" s="282"/>
    </row>
    <row r="219" spans="2:19" ht="11.25">
      <c r="B219" s="21">
        <v>2000</v>
      </c>
      <c r="C219" s="22">
        <v>7.5</v>
      </c>
      <c r="D219" s="22">
        <v>0.0765</v>
      </c>
      <c r="E219" s="22">
        <v>28</v>
      </c>
      <c r="F219" s="23"/>
      <c r="G219" s="22">
        <v>2000</v>
      </c>
      <c r="H219" s="22">
        <v>7.5</v>
      </c>
      <c r="I219" s="120">
        <v>0.0765</v>
      </c>
      <c r="J219" s="24">
        <v>28</v>
      </c>
      <c r="O219" s="281"/>
      <c r="P219" s="278"/>
      <c r="Q219" s="278"/>
      <c r="R219" s="278"/>
      <c r="S219" s="282"/>
    </row>
    <row r="220" spans="2:19" ht="11.25">
      <c r="B220" s="21">
        <v>10000</v>
      </c>
      <c r="C220" s="22">
        <v>87.4</v>
      </c>
      <c r="D220" s="22">
        <v>0.0657</v>
      </c>
      <c r="E220" s="22">
        <v>-350</v>
      </c>
      <c r="F220" s="23"/>
      <c r="G220" s="22">
        <v>10000</v>
      </c>
      <c r="H220" s="22">
        <v>87.4</v>
      </c>
      <c r="I220" s="120">
        <v>0.0657</v>
      </c>
      <c r="J220" s="24">
        <v>-350</v>
      </c>
      <c r="O220" s="281"/>
      <c r="P220" s="278"/>
      <c r="Q220" s="278"/>
      <c r="R220" s="278"/>
      <c r="S220" s="282"/>
    </row>
    <row r="221" spans="2:19" ht="11.25">
      <c r="B221" s="21">
        <v>20000</v>
      </c>
      <c r="C221" s="22">
        <v>196</v>
      </c>
      <c r="D221" s="22">
        <v>0.0507</v>
      </c>
      <c r="E221" s="22">
        <v>-1017</v>
      </c>
      <c r="F221" s="23"/>
      <c r="G221" s="22">
        <v>20000</v>
      </c>
      <c r="H221" s="22">
        <v>196</v>
      </c>
      <c r="I221" s="120">
        <v>0.0507</v>
      </c>
      <c r="J221" s="24">
        <v>-1017</v>
      </c>
      <c r="O221" s="281"/>
      <c r="P221" s="278"/>
      <c r="Q221" s="278"/>
      <c r="R221" s="278"/>
      <c r="S221" s="282"/>
    </row>
    <row r="222" spans="2:19" ht="11.25">
      <c r="B222" s="21">
        <v>40000</v>
      </c>
      <c r="C222" s="22">
        <v>319.1</v>
      </c>
      <c r="D222" s="22">
        <v>0.0389</v>
      </c>
      <c r="E222" s="25">
        <v>-1820</v>
      </c>
      <c r="F222" s="23"/>
      <c r="G222" s="22">
        <v>40000</v>
      </c>
      <c r="H222" s="22">
        <v>319.1</v>
      </c>
      <c r="I222" s="120">
        <v>0.0389</v>
      </c>
      <c r="J222" s="29">
        <v>-1820</v>
      </c>
      <c r="O222" s="281"/>
      <c r="P222" s="278"/>
      <c r="Q222" s="278"/>
      <c r="R222" s="278"/>
      <c r="S222" s="282"/>
    </row>
    <row r="223" spans="2:19" ht="11.25">
      <c r="B223" s="21">
        <v>80000</v>
      </c>
      <c r="C223" s="22">
        <v>405.4</v>
      </c>
      <c r="D223" s="22">
        <v>0.0457</v>
      </c>
      <c r="E223" s="22">
        <v>-2426</v>
      </c>
      <c r="F223" s="23"/>
      <c r="G223" s="22">
        <v>80000</v>
      </c>
      <c r="H223" s="22">
        <v>405.4</v>
      </c>
      <c r="I223" s="120">
        <v>0.0457</v>
      </c>
      <c r="J223" s="24">
        <v>-2426</v>
      </c>
      <c r="O223" s="281"/>
      <c r="P223" s="278"/>
      <c r="Q223" s="278"/>
      <c r="R223" s="278"/>
      <c r="S223" s="282"/>
    </row>
    <row r="224" spans="2:19" ht="12" thickBot="1">
      <c r="B224" s="26"/>
      <c r="C224" s="27"/>
      <c r="D224" s="27"/>
      <c r="E224" s="27"/>
      <c r="F224" s="27"/>
      <c r="G224" s="27"/>
      <c r="H224" s="27"/>
      <c r="I224" s="27"/>
      <c r="J224" s="28"/>
      <c r="O224" s="283"/>
      <c r="P224" s="284"/>
      <c r="Q224" s="284"/>
      <c r="R224" s="284"/>
      <c r="S224" s="285"/>
    </row>
    <row r="225" ht="12" thickBot="1"/>
    <row r="226" spans="2:19" ht="11.25">
      <c r="B226" s="17" t="s">
        <v>245</v>
      </c>
      <c r="C226" s="18">
        <f>C216+1</f>
        <v>122</v>
      </c>
      <c r="D226" s="18">
        <v>1.1</v>
      </c>
      <c r="E226" s="18">
        <f>ROUND(E216*0.95,4)</f>
        <v>0.0684</v>
      </c>
      <c r="F226" s="19">
        <v>50</v>
      </c>
      <c r="G226" s="19">
        <f>1+G216</f>
        <v>122</v>
      </c>
      <c r="H226" s="18"/>
      <c r="I226" s="18">
        <v>1.1</v>
      </c>
      <c r="J226" s="20">
        <f>E226</f>
        <v>0.0684</v>
      </c>
      <c r="L226" s="34">
        <f ca="1">OFFSET(RecognisedList,$G226+2,0)</f>
        <v>0</v>
      </c>
      <c r="M226" s="35">
        <f ca="1">OFFSET(RecognisedList,$G226+2,1)</f>
        <v>0</v>
      </c>
      <c r="O226" s="299">
        <v>2.5</v>
      </c>
      <c r="P226" s="279">
        <v>10</v>
      </c>
      <c r="Q226" s="279">
        <v>80</v>
      </c>
      <c r="R226" s="279">
        <v>12</v>
      </c>
      <c r="S226" s="280">
        <v>2</v>
      </c>
    </row>
    <row r="227" spans="2:19" ht="11.25">
      <c r="B227" s="21" t="s">
        <v>26</v>
      </c>
      <c r="C227" s="22" t="s">
        <v>11</v>
      </c>
      <c r="D227" s="22" t="s">
        <v>12</v>
      </c>
      <c r="E227" s="22" t="s">
        <v>81</v>
      </c>
      <c r="F227" s="23"/>
      <c r="G227" s="22" t="s">
        <v>26</v>
      </c>
      <c r="H227" s="22" t="s">
        <v>11</v>
      </c>
      <c r="I227" s="22" t="s">
        <v>12</v>
      </c>
      <c r="J227" s="24" t="s">
        <v>81</v>
      </c>
      <c r="L227" s="36">
        <f ca="1">OFFSET(RecognisedList,$G226+2,3)</f>
        <v>0</v>
      </c>
      <c r="M227" s="37">
        <f ca="1">OFFSET(RecognisedList,$G226+2,2)</f>
        <v>0</v>
      </c>
      <c r="O227" s="281"/>
      <c r="P227" s="278"/>
      <c r="Q227" s="278"/>
      <c r="R227" s="278"/>
      <c r="S227" s="282"/>
    </row>
    <row r="228" spans="2:19" ht="11.25">
      <c r="B228" s="21">
        <v>0</v>
      </c>
      <c r="C228" s="22">
        <f aca="true" t="shared" si="60" ref="C228:C233">ROUND(0.95*C218,1)</f>
        <v>1.8</v>
      </c>
      <c r="D228" s="22">
        <f aca="true" t="shared" si="61" ref="D228:D233">ROUND(0.95*D218,4)</f>
        <v>0.0746</v>
      </c>
      <c r="E228" s="22">
        <f aca="true" t="shared" si="62" ref="E228:E233">ROUND(0.95*E218,0)</f>
        <v>0</v>
      </c>
      <c r="F228" s="23"/>
      <c r="G228" s="22">
        <v>0</v>
      </c>
      <c r="H228" s="22">
        <f aca="true" t="shared" si="63" ref="H228:H233">ROUND(0.95*H218,1)</f>
        <v>1.8</v>
      </c>
      <c r="I228" s="120">
        <f aca="true" t="shared" si="64" ref="I228:I233">ROUND(0.95*I218,4)</f>
        <v>0.0746</v>
      </c>
      <c r="J228" s="24">
        <f aca="true" t="shared" si="65" ref="J228:J233">ROUND(0.95*J218,0)</f>
        <v>0</v>
      </c>
      <c r="O228" s="281"/>
      <c r="P228" s="278"/>
      <c r="Q228" s="278"/>
      <c r="R228" s="278"/>
      <c r="S228" s="282"/>
    </row>
    <row r="229" spans="2:19" ht="11.25">
      <c r="B229" s="21">
        <v>2000</v>
      </c>
      <c r="C229" s="22">
        <f t="shared" si="60"/>
        <v>7.1</v>
      </c>
      <c r="D229" s="22">
        <f t="shared" si="61"/>
        <v>0.0727</v>
      </c>
      <c r="E229" s="22">
        <f t="shared" si="62"/>
        <v>27</v>
      </c>
      <c r="F229" s="23"/>
      <c r="G229" s="22">
        <v>2000</v>
      </c>
      <c r="H229" s="22">
        <f t="shared" si="63"/>
        <v>7.1</v>
      </c>
      <c r="I229" s="120">
        <f t="shared" si="64"/>
        <v>0.0727</v>
      </c>
      <c r="J229" s="24">
        <f t="shared" si="65"/>
        <v>27</v>
      </c>
      <c r="O229" s="281"/>
      <c r="P229" s="278"/>
      <c r="Q229" s="278"/>
      <c r="R229" s="278"/>
      <c r="S229" s="282"/>
    </row>
    <row r="230" spans="2:19" ht="11.25">
      <c r="B230" s="21">
        <v>10000</v>
      </c>
      <c r="C230" s="22">
        <f t="shared" si="60"/>
        <v>83</v>
      </c>
      <c r="D230" s="22">
        <f t="shared" si="61"/>
        <v>0.0624</v>
      </c>
      <c r="E230" s="22">
        <f t="shared" si="62"/>
        <v>-333</v>
      </c>
      <c r="F230" s="23"/>
      <c r="G230" s="22">
        <v>10000</v>
      </c>
      <c r="H230" s="22">
        <f t="shared" si="63"/>
        <v>83</v>
      </c>
      <c r="I230" s="120">
        <f t="shared" si="64"/>
        <v>0.0624</v>
      </c>
      <c r="J230" s="24">
        <f t="shared" si="65"/>
        <v>-333</v>
      </c>
      <c r="O230" s="281"/>
      <c r="P230" s="278"/>
      <c r="Q230" s="278"/>
      <c r="R230" s="278"/>
      <c r="S230" s="282"/>
    </row>
    <row r="231" spans="2:19" ht="11.25">
      <c r="B231" s="21">
        <v>20000</v>
      </c>
      <c r="C231" s="22">
        <f t="shared" si="60"/>
        <v>186.2</v>
      </c>
      <c r="D231" s="22">
        <f t="shared" si="61"/>
        <v>0.0482</v>
      </c>
      <c r="E231" s="22">
        <f t="shared" si="62"/>
        <v>-966</v>
      </c>
      <c r="F231" s="23"/>
      <c r="G231" s="22">
        <v>20000</v>
      </c>
      <c r="H231" s="22">
        <f t="shared" si="63"/>
        <v>186.2</v>
      </c>
      <c r="I231" s="120">
        <f t="shared" si="64"/>
        <v>0.0482</v>
      </c>
      <c r="J231" s="24">
        <f t="shared" si="65"/>
        <v>-966</v>
      </c>
      <c r="O231" s="281"/>
      <c r="P231" s="278"/>
      <c r="Q231" s="278"/>
      <c r="R231" s="278"/>
      <c r="S231" s="282"/>
    </row>
    <row r="232" spans="2:19" ht="11.25">
      <c r="B232" s="21">
        <v>40000</v>
      </c>
      <c r="C232" s="22">
        <f t="shared" si="60"/>
        <v>303.1</v>
      </c>
      <c r="D232" s="22">
        <f t="shared" si="61"/>
        <v>0.037</v>
      </c>
      <c r="E232" s="22">
        <f t="shared" si="62"/>
        <v>-1729</v>
      </c>
      <c r="F232" s="23"/>
      <c r="G232" s="22">
        <v>40000</v>
      </c>
      <c r="H232" s="22">
        <f t="shared" si="63"/>
        <v>303.1</v>
      </c>
      <c r="I232" s="120">
        <f t="shared" si="64"/>
        <v>0.037</v>
      </c>
      <c r="J232" s="29">
        <f t="shared" si="65"/>
        <v>-1729</v>
      </c>
      <c r="O232" s="281"/>
      <c r="P232" s="278"/>
      <c r="Q232" s="278"/>
      <c r="R232" s="278"/>
      <c r="S232" s="282"/>
    </row>
    <row r="233" spans="2:19" ht="11.25">
      <c r="B233" s="21">
        <v>80000</v>
      </c>
      <c r="C233" s="22">
        <f t="shared" si="60"/>
        <v>385.1</v>
      </c>
      <c r="D233" s="22">
        <f t="shared" si="61"/>
        <v>0.0434</v>
      </c>
      <c r="E233" s="22">
        <f t="shared" si="62"/>
        <v>-2305</v>
      </c>
      <c r="F233" s="23"/>
      <c r="G233" s="22">
        <v>80000</v>
      </c>
      <c r="H233" s="22">
        <f t="shared" si="63"/>
        <v>385.1</v>
      </c>
      <c r="I233" s="120">
        <f t="shared" si="64"/>
        <v>0.0434</v>
      </c>
      <c r="J233" s="24">
        <f t="shared" si="65"/>
        <v>-2305</v>
      </c>
      <c r="O233" s="281"/>
      <c r="P233" s="278"/>
      <c r="Q233" s="278"/>
      <c r="R233" s="278"/>
      <c r="S233" s="282"/>
    </row>
    <row r="234" spans="2:19" ht="12" thickBot="1">
      <c r="B234" s="26"/>
      <c r="C234" s="27"/>
      <c r="D234" s="27"/>
      <c r="E234" s="27"/>
      <c r="F234" s="27"/>
      <c r="G234" s="27"/>
      <c r="H234" s="27"/>
      <c r="I234" s="27"/>
      <c r="J234" s="28"/>
      <c r="O234" s="283"/>
      <c r="P234" s="284"/>
      <c r="Q234" s="284"/>
      <c r="R234" s="284"/>
      <c r="S234" s="285"/>
    </row>
    <row r="235" spans="1:21" ht="12" thickBot="1">
      <c r="A235" s="23"/>
      <c r="B235" s="23"/>
      <c r="C235" s="23"/>
      <c r="D235" s="23"/>
      <c r="E235" s="23"/>
      <c r="F235" s="23"/>
      <c r="G235" s="23"/>
      <c r="H235" s="23"/>
      <c r="I235" s="23"/>
      <c r="J235" s="23"/>
      <c r="K235" s="23"/>
      <c r="L235" s="23"/>
      <c r="M235" s="23"/>
      <c r="N235" s="23"/>
      <c r="O235" s="278"/>
      <c r="P235" s="278"/>
      <c r="Q235" s="278"/>
      <c r="R235" s="278"/>
      <c r="S235" s="278"/>
      <c r="T235" s="23"/>
      <c r="U235" s="23"/>
    </row>
    <row r="236" spans="2:19" ht="11.25">
      <c r="B236" s="17" t="s">
        <v>351</v>
      </c>
      <c r="C236" s="18">
        <f>C226+1</f>
        <v>123</v>
      </c>
      <c r="D236" s="18">
        <v>0</v>
      </c>
      <c r="E236" s="18">
        <v>0.102</v>
      </c>
      <c r="F236" s="19">
        <v>0</v>
      </c>
      <c r="G236" s="19">
        <f>1+G226</f>
        <v>123</v>
      </c>
      <c r="H236" s="18"/>
      <c r="I236" s="18">
        <v>0</v>
      </c>
      <c r="J236" s="20">
        <v>0.102</v>
      </c>
      <c r="L236" s="34">
        <f ca="1">OFFSET(RecognisedList,$G236+2,0)</f>
        <v>0</v>
      </c>
      <c r="M236" s="35">
        <f ca="1">OFFSET(RecognisedList,$G236+2,1)</f>
        <v>0</v>
      </c>
      <c r="O236" s="299">
        <v>0</v>
      </c>
      <c r="P236" s="279">
        <v>0</v>
      </c>
      <c r="Q236" s="279">
        <v>0</v>
      </c>
      <c r="R236" s="279">
        <v>0</v>
      </c>
      <c r="S236" s="280">
        <v>0</v>
      </c>
    </row>
    <row r="237" spans="2:19" ht="11.25">
      <c r="B237" s="21" t="s">
        <v>26</v>
      </c>
      <c r="C237" s="22" t="s">
        <v>11</v>
      </c>
      <c r="D237" s="22" t="s">
        <v>12</v>
      </c>
      <c r="E237" s="22" t="s">
        <v>81</v>
      </c>
      <c r="F237" s="23"/>
      <c r="G237" s="22" t="s">
        <v>26</v>
      </c>
      <c r="H237" s="22" t="s">
        <v>11</v>
      </c>
      <c r="I237" s="22" t="s">
        <v>12</v>
      </c>
      <c r="J237" s="24" t="s">
        <v>81</v>
      </c>
      <c r="L237" s="36">
        <f ca="1">OFFSET(RecognisedList,$G236+2,3)</f>
        <v>0</v>
      </c>
      <c r="M237" s="37">
        <f ca="1">OFFSET(RecognisedList,$G236+2,2)</f>
        <v>0</v>
      </c>
      <c r="O237" s="281"/>
      <c r="P237" s="278"/>
      <c r="Q237" s="278"/>
      <c r="R237" s="278"/>
      <c r="S237" s="282"/>
    </row>
    <row r="238" spans="2:19" ht="11.25">
      <c r="B238" s="21">
        <v>0</v>
      </c>
      <c r="C238" s="22">
        <v>63</v>
      </c>
      <c r="D238" s="22">
        <v>0.0951</v>
      </c>
      <c r="E238" s="22">
        <v>-386</v>
      </c>
      <c r="F238" s="23"/>
      <c r="G238" s="22">
        <v>0</v>
      </c>
      <c r="H238" s="22">
        <v>0</v>
      </c>
      <c r="I238" s="120">
        <v>0.1121</v>
      </c>
      <c r="J238" s="24">
        <v>0</v>
      </c>
      <c r="O238" s="281"/>
      <c r="P238" s="278"/>
      <c r="Q238" s="278"/>
      <c r="R238" s="278"/>
      <c r="S238" s="282"/>
    </row>
    <row r="239" spans="2:19" ht="11.25">
      <c r="B239" s="21">
        <v>2000</v>
      </c>
      <c r="C239" s="22">
        <v>62.6</v>
      </c>
      <c r="D239" s="22">
        <v>0.0948</v>
      </c>
      <c r="E239" s="22">
        <v>-327</v>
      </c>
      <c r="F239" s="23"/>
      <c r="G239" s="22">
        <v>2000</v>
      </c>
      <c r="H239" s="22">
        <v>-0.2</v>
      </c>
      <c r="I239" s="120">
        <v>0.1119</v>
      </c>
      <c r="J239" s="24">
        <v>33.6</v>
      </c>
      <c r="O239" s="281"/>
      <c r="P239" s="278"/>
      <c r="Q239" s="278"/>
      <c r="R239" s="278"/>
      <c r="S239" s="282"/>
    </row>
    <row r="240" spans="2:19" ht="11.25">
      <c r="B240" s="21">
        <v>10000</v>
      </c>
      <c r="C240" s="22">
        <v>109.5</v>
      </c>
      <c r="D240" s="22">
        <v>0.082</v>
      </c>
      <c r="E240" s="22">
        <v>-611</v>
      </c>
      <c r="F240" s="23"/>
      <c r="G240" s="22">
        <v>10000</v>
      </c>
      <c r="H240" s="22">
        <v>26.7</v>
      </c>
      <c r="I240" s="120">
        <v>0.1045</v>
      </c>
      <c r="J240" s="24">
        <v>-129.3</v>
      </c>
      <c r="O240" s="281"/>
      <c r="P240" s="278"/>
      <c r="Q240" s="278"/>
      <c r="R240" s="278"/>
      <c r="S240" s="282"/>
    </row>
    <row r="241" spans="2:19" ht="11.25">
      <c r="B241" s="21">
        <v>20000</v>
      </c>
      <c r="C241" s="22">
        <v>132.8</v>
      </c>
      <c r="D241" s="22">
        <v>0.0778</v>
      </c>
      <c r="E241" s="22">
        <v>-779</v>
      </c>
      <c r="F241" s="23"/>
      <c r="G241" s="22">
        <v>20000</v>
      </c>
      <c r="H241" s="22">
        <v>40.1</v>
      </c>
      <c r="I241" s="120">
        <v>0.1021</v>
      </c>
      <c r="J241" s="24">
        <v>-225.9</v>
      </c>
      <c r="O241" s="281"/>
      <c r="P241" s="278"/>
      <c r="Q241" s="278"/>
      <c r="R241" s="278"/>
      <c r="S241" s="282"/>
    </row>
    <row r="242" spans="2:19" ht="11.25">
      <c r="B242" s="21">
        <v>40000</v>
      </c>
      <c r="C242" s="22">
        <v>125.4</v>
      </c>
      <c r="D242" s="22">
        <v>0.0817</v>
      </c>
      <c r="E242" s="25">
        <v>-731</v>
      </c>
      <c r="F242" s="23"/>
      <c r="G242" s="22">
        <v>40000</v>
      </c>
      <c r="H242" s="22">
        <v>35.9</v>
      </c>
      <c r="I242" s="120">
        <v>0.1044</v>
      </c>
      <c r="J242" s="29">
        <v>-198.5</v>
      </c>
      <c r="O242" s="281"/>
      <c r="P242" s="278"/>
      <c r="Q242" s="278"/>
      <c r="R242" s="278"/>
      <c r="S242" s="282"/>
    </row>
    <row r="243" spans="2:19" ht="11.25">
      <c r="B243" s="21">
        <v>80000</v>
      </c>
      <c r="C243" s="22">
        <v>116</v>
      </c>
      <c r="D243" s="22">
        <v>0.0855</v>
      </c>
      <c r="E243" s="22">
        <v>-668</v>
      </c>
      <c r="F243" s="23"/>
      <c r="G243" s="22">
        <v>80000</v>
      </c>
      <c r="H243" s="22">
        <v>30.5</v>
      </c>
      <c r="I243" s="120">
        <v>0.1066</v>
      </c>
      <c r="J243" s="24">
        <v>-162.3</v>
      </c>
      <c r="O243" s="281"/>
      <c r="P243" s="278"/>
      <c r="Q243" s="278"/>
      <c r="R243" s="278"/>
      <c r="S243" s="282"/>
    </row>
    <row r="244" spans="2:19" ht="12" thickBot="1">
      <c r="B244" s="26"/>
      <c r="C244" s="27"/>
      <c r="D244" s="27"/>
      <c r="E244" s="27"/>
      <c r="F244" s="27"/>
      <c r="G244" s="27"/>
      <c r="H244" s="27"/>
      <c r="I244" s="27"/>
      <c r="J244" s="28"/>
      <c r="O244" s="283"/>
      <c r="P244" s="284"/>
      <c r="Q244" s="284"/>
      <c r="R244" s="284"/>
      <c r="S244" s="285"/>
    </row>
    <row r="245" ht="12" thickBot="1"/>
    <row r="246" spans="2:19" ht="11.25">
      <c r="B246" s="17" t="s">
        <v>368</v>
      </c>
      <c r="C246" s="18">
        <f>C236+1</f>
        <v>124</v>
      </c>
      <c r="D246" s="18">
        <v>0</v>
      </c>
      <c r="E246" s="18">
        <v>0.09</v>
      </c>
      <c r="F246" s="19">
        <v>0</v>
      </c>
      <c r="G246" s="19">
        <f>1+G236</f>
        <v>124</v>
      </c>
      <c r="H246" s="18"/>
      <c r="I246" s="18">
        <v>0</v>
      </c>
      <c r="J246" s="20">
        <v>0.09</v>
      </c>
      <c r="L246" s="34">
        <f ca="1">OFFSET(RecognisedList,$G246+2,0)</f>
        <v>0</v>
      </c>
      <c r="M246" s="35">
        <f ca="1">OFFSET(RecognisedList,$G246+2,1)</f>
        <v>0</v>
      </c>
      <c r="O246" s="299">
        <v>0</v>
      </c>
      <c r="P246" s="279">
        <v>0</v>
      </c>
      <c r="Q246" s="279">
        <v>0</v>
      </c>
      <c r="R246" s="279">
        <v>0</v>
      </c>
      <c r="S246" s="280">
        <v>0</v>
      </c>
    </row>
    <row r="247" spans="2:19" ht="11.25">
      <c r="B247" s="21" t="s">
        <v>26</v>
      </c>
      <c r="C247" s="22" t="s">
        <v>11</v>
      </c>
      <c r="D247" s="22" t="s">
        <v>12</v>
      </c>
      <c r="E247" s="22" t="s">
        <v>81</v>
      </c>
      <c r="F247" s="23"/>
      <c r="G247" s="22" t="s">
        <v>26</v>
      </c>
      <c r="H247" s="22" t="s">
        <v>11</v>
      </c>
      <c r="I247" s="22" t="s">
        <v>12</v>
      </c>
      <c r="J247" s="24" t="s">
        <v>81</v>
      </c>
      <c r="L247" s="36">
        <f ca="1">OFFSET(RecognisedList,$G246+2,3)</f>
        <v>0</v>
      </c>
      <c r="M247" s="37">
        <f ca="1">OFFSET(RecognisedList,$G246+2,2)</f>
        <v>0</v>
      </c>
      <c r="O247" s="281"/>
      <c r="P247" s="278"/>
      <c r="Q247" s="278"/>
      <c r="R247" s="278"/>
      <c r="S247" s="282"/>
    </row>
    <row r="248" spans="2:19" ht="11.25">
      <c r="B248" s="21">
        <v>0</v>
      </c>
      <c r="C248" s="22">
        <v>67.8</v>
      </c>
      <c r="D248" s="22">
        <v>0.0832</v>
      </c>
      <c r="E248" s="22">
        <v>-439</v>
      </c>
      <c r="F248" s="23"/>
      <c r="G248" s="22">
        <v>0</v>
      </c>
      <c r="H248" s="22">
        <v>0</v>
      </c>
      <c r="I248" s="120">
        <v>0.0989</v>
      </c>
      <c r="J248" s="24">
        <v>0</v>
      </c>
      <c r="O248" s="281"/>
      <c r="P248" s="278"/>
      <c r="Q248" s="278"/>
      <c r="R248" s="278"/>
      <c r="S248" s="282"/>
    </row>
    <row r="249" spans="2:19" ht="11.25">
      <c r="B249" s="21">
        <v>2000</v>
      </c>
      <c r="C249" s="22">
        <v>70.4</v>
      </c>
      <c r="D249" s="22">
        <v>0.0813</v>
      </c>
      <c r="E249" s="22">
        <v>-380</v>
      </c>
      <c r="F249" s="23"/>
      <c r="G249" s="22">
        <v>2000</v>
      </c>
      <c r="H249" s="22">
        <v>0.8</v>
      </c>
      <c r="I249" s="120">
        <v>0.0979</v>
      </c>
      <c r="J249" s="24">
        <v>38.5</v>
      </c>
      <c r="O249" s="281"/>
      <c r="P249" s="278"/>
      <c r="Q249" s="278"/>
      <c r="R249" s="278"/>
      <c r="S249" s="282"/>
    </row>
    <row r="250" spans="2:19" ht="11.25">
      <c r="B250" s="21">
        <v>10000</v>
      </c>
      <c r="C250" s="22">
        <v>111.5</v>
      </c>
      <c r="D250" s="22">
        <v>0.0712</v>
      </c>
      <c r="E250" s="22">
        <v>-638</v>
      </c>
      <c r="F250" s="23"/>
      <c r="G250" s="22">
        <v>10000</v>
      </c>
      <c r="H250" s="22">
        <v>20.3</v>
      </c>
      <c r="I250" s="120">
        <v>0.0923</v>
      </c>
      <c r="J250" s="24">
        <v>-76.9</v>
      </c>
      <c r="O250" s="281"/>
      <c r="P250" s="278"/>
      <c r="Q250" s="278"/>
      <c r="R250" s="278"/>
      <c r="S250" s="282"/>
    </row>
    <row r="251" spans="2:19" ht="11.25">
      <c r="B251" s="21">
        <v>20000</v>
      </c>
      <c r="C251" s="22">
        <v>109.6</v>
      </c>
      <c r="D251" s="22">
        <v>0.0724</v>
      </c>
      <c r="E251" s="22">
        <v>-626</v>
      </c>
      <c r="F251" s="23"/>
      <c r="G251" s="22">
        <v>20000</v>
      </c>
      <c r="H251" s="22">
        <v>19.7</v>
      </c>
      <c r="I251" s="120">
        <v>0.0929</v>
      </c>
      <c r="J251" s="24">
        <v>-73.7</v>
      </c>
      <c r="O251" s="281"/>
      <c r="P251" s="278"/>
      <c r="Q251" s="278"/>
      <c r="R251" s="278"/>
      <c r="S251" s="282"/>
    </row>
    <row r="252" spans="2:19" ht="11.25">
      <c r="B252" s="21">
        <v>40000</v>
      </c>
      <c r="C252" s="22">
        <v>98.6</v>
      </c>
      <c r="D252" s="22">
        <v>0.0762</v>
      </c>
      <c r="E252" s="25">
        <v>-550</v>
      </c>
      <c r="F252" s="23"/>
      <c r="G252" s="22">
        <v>40000</v>
      </c>
      <c r="H252" s="22">
        <v>14.7</v>
      </c>
      <c r="I252" s="120">
        <v>0.095</v>
      </c>
      <c r="J252" s="29">
        <v>-39.5</v>
      </c>
      <c r="O252" s="281"/>
      <c r="P252" s="278"/>
      <c r="Q252" s="278"/>
      <c r="R252" s="278"/>
      <c r="S252" s="282"/>
    </row>
    <row r="253" spans="2:19" ht="11.25">
      <c r="B253" s="21">
        <v>80000</v>
      </c>
      <c r="C253" s="22">
        <v>96.6</v>
      </c>
      <c r="D253" s="22">
        <v>0.0769</v>
      </c>
      <c r="E253" s="22">
        <v>-536</v>
      </c>
      <c r="F253" s="23"/>
      <c r="G253" s="22">
        <v>80000</v>
      </c>
      <c r="H253" s="22">
        <v>13.8</v>
      </c>
      <c r="I253" s="120">
        <v>0.0954</v>
      </c>
      <c r="J253" s="24">
        <v>-33.4</v>
      </c>
      <c r="O253" s="281"/>
      <c r="P253" s="278"/>
      <c r="Q253" s="278"/>
      <c r="R253" s="278"/>
      <c r="S253" s="282"/>
    </row>
    <row r="254" spans="2:19" ht="12" thickBot="1">
      <c r="B254" s="26"/>
      <c r="C254" s="27"/>
      <c r="D254" s="27"/>
      <c r="E254" s="27"/>
      <c r="F254" s="27"/>
      <c r="G254" s="27"/>
      <c r="H254" s="27"/>
      <c r="I254" s="27"/>
      <c r="J254" s="28"/>
      <c r="O254" s="283"/>
      <c r="P254" s="284"/>
      <c r="Q254" s="284"/>
      <c r="R254" s="284"/>
      <c r="S254" s="285"/>
    </row>
    <row r="255" ht="12" thickBot="1"/>
    <row r="256" spans="2:19" ht="11.25">
      <c r="B256" s="17" t="s">
        <v>373</v>
      </c>
      <c r="C256" s="18">
        <f>C246+1</f>
        <v>125</v>
      </c>
      <c r="D256" s="18">
        <v>0</v>
      </c>
      <c r="E256" s="18">
        <v>0.106</v>
      </c>
      <c r="F256" s="19">
        <v>0</v>
      </c>
      <c r="G256" s="19">
        <f>1+G246</f>
        <v>125</v>
      </c>
      <c r="H256" s="18"/>
      <c r="I256" s="18">
        <v>0</v>
      </c>
      <c r="J256" s="20">
        <v>0.102</v>
      </c>
      <c r="L256" s="34">
        <f ca="1">OFFSET(RecognisedList,$G256+2,0)</f>
        <v>0</v>
      </c>
      <c r="M256" s="35">
        <f ca="1">OFFSET(RecognisedList,$G256+2,1)</f>
        <v>0</v>
      </c>
      <c r="O256" s="299">
        <v>0</v>
      </c>
      <c r="P256" s="279">
        <v>0</v>
      </c>
      <c r="Q256" s="279">
        <v>0</v>
      </c>
      <c r="R256" s="279">
        <v>0</v>
      </c>
      <c r="S256" s="280">
        <v>0</v>
      </c>
    </row>
    <row r="257" spans="2:19" ht="11.25">
      <c r="B257" s="21" t="s">
        <v>26</v>
      </c>
      <c r="C257" s="22" t="s">
        <v>11</v>
      </c>
      <c r="D257" s="22" t="s">
        <v>12</v>
      </c>
      <c r="E257" s="22" t="s">
        <v>81</v>
      </c>
      <c r="F257" s="23"/>
      <c r="G257" s="22" t="s">
        <v>26</v>
      </c>
      <c r="H257" s="22" t="s">
        <v>11</v>
      </c>
      <c r="I257" s="22" t="s">
        <v>12</v>
      </c>
      <c r="J257" s="24" t="s">
        <v>81</v>
      </c>
      <c r="L257" s="36">
        <f ca="1">OFFSET(RecognisedList,$G256+2,3)</f>
        <v>0</v>
      </c>
      <c r="M257" s="37">
        <f ca="1">OFFSET(RecognisedList,$G256+2,2)</f>
        <v>0</v>
      </c>
      <c r="O257" s="281"/>
      <c r="P257" s="278"/>
      <c r="Q257" s="278"/>
      <c r="R257" s="278"/>
      <c r="S257" s="282"/>
    </row>
    <row r="258" spans="2:19" ht="11.25">
      <c r="B258" s="21">
        <v>0</v>
      </c>
      <c r="C258" s="22">
        <v>79.8</v>
      </c>
      <c r="D258" s="22">
        <v>0.098</v>
      </c>
      <c r="E258" s="22">
        <v>-517</v>
      </c>
      <c r="F258" s="23"/>
      <c r="G258" s="22">
        <v>0</v>
      </c>
      <c r="H258" s="22">
        <v>0</v>
      </c>
      <c r="I258" s="120">
        <v>0.1121</v>
      </c>
      <c r="J258" s="24">
        <v>0</v>
      </c>
      <c r="O258" s="281"/>
      <c r="P258" s="278"/>
      <c r="Q258" s="278"/>
      <c r="R258" s="278"/>
      <c r="S258" s="282"/>
    </row>
    <row r="259" spans="2:19" ht="11.25">
      <c r="B259" s="21">
        <v>2000</v>
      </c>
      <c r="C259" s="22">
        <v>82.5</v>
      </c>
      <c r="D259" s="22">
        <v>0.0961</v>
      </c>
      <c r="E259" s="22">
        <v>-458</v>
      </c>
      <c r="F259" s="23"/>
      <c r="G259" s="22">
        <v>2000</v>
      </c>
      <c r="H259" s="22">
        <v>0.8</v>
      </c>
      <c r="I259" s="120">
        <v>0.1111</v>
      </c>
      <c r="J259" s="24">
        <v>38.5</v>
      </c>
      <c r="O259" s="281"/>
      <c r="P259" s="278"/>
      <c r="Q259" s="278"/>
      <c r="R259" s="278"/>
      <c r="S259" s="282"/>
    </row>
    <row r="260" spans="2:19" ht="11.25">
      <c r="B260" s="21">
        <v>10000</v>
      </c>
      <c r="C260" s="22">
        <v>123.3</v>
      </c>
      <c r="D260" s="22">
        <v>0.0861</v>
      </c>
      <c r="E260" s="22">
        <v>-715</v>
      </c>
      <c r="F260" s="23"/>
      <c r="G260" s="22">
        <v>10000</v>
      </c>
      <c r="H260" s="22">
        <v>20.3</v>
      </c>
      <c r="I260" s="120">
        <v>0.1055</v>
      </c>
      <c r="J260" s="24">
        <v>-76.9</v>
      </c>
      <c r="O260" s="281"/>
      <c r="P260" s="278"/>
      <c r="Q260" s="278"/>
      <c r="R260" s="278"/>
      <c r="S260" s="282"/>
    </row>
    <row r="261" spans="2:19" ht="11.25">
      <c r="B261" s="21">
        <v>20000</v>
      </c>
      <c r="C261" s="22">
        <v>121.4</v>
      </c>
      <c r="D261" s="22">
        <v>0.0873</v>
      </c>
      <c r="E261" s="22">
        <v>-703</v>
      </c>
      <c r="F261" s="23"/>
      <c r="G261" s="22">
        <v>20000</v>
      </c>
      <c r="H261" s="22">
        <v>19.7</v>
      </c>
      <c r="I261" s="120">
        <v>0.1061</v>
      </c>
      <c r="J261" s="24">
        <v>-73.7</v>
      </c>
      <c r="O261" s="281"/>
      <c r="P261" s="278"/>
      <c r="Q261" s="278"/>
      <c r="R261" s="278"/>
      <c r="S261" s="282"/>
    </row>
    <row r="262" spans="2:19" ht="11.25">
      <c r="B262" s="21">
        <v>40000</v>
      </c>
      <c r="C262" s="22">
        <v>110.4</v>
      </c>
      <c r="D262" s="22">
        <v>0.0911</v>
      </c>
      <c r="E262" s="25">
        <v>-627</v>
      </c>
      <c r="F262" s="23"/>
      <c r="G262" s="22">
        <v>40000</v>
      </c>
      <c r="H262" s="22">
        <v>14.7</v>
      </c>
      <c r="I262" s="120">
        <v>0.1082</v>
      </c>
      <c r="J262" s="29">
        <v>-39.5</v>
      </c>
      <c r="O262" s="281"/>
      <c r="P262" s="278"/>
      <c r="Q262" s="278"/>
      <c r="R262" s="278"/>
      <c r="S262" s="282"/>
    </row>
    <row r="263" spans="2:19" ht="11.25">
      <c r="B263" s="21">
        <v>80000</v>
      </c>
      <c r="C263" s="22">
        <v>108.4</v>
      </c>
      <c r="D263" s="22">
        <v>0.0917</v>
      </c>
      <c r="E263" s="22">
        <v>-613</v>
      </c>
      <c r="F263" s="23"/>
      <c r="G263" s="22">
        <v>80000</v>
      </c>
      <c r="H263" s="22">
        <v>13.8</v>
      </c>
      <c r="I263" s="120">
        <v>0.1086</v>
      </c>
      <c r="J263" s="24">
        <v>-33.4</v>
      </c>
      <c r="O263" s="281"/>
      <c r="P263" s="278"/>
      <c r="Q263" s="278"/>
      <c r="R263" s="278"/>
      <c r="S263" s="282"/>
    </row>
    <row r="264" spans="2:19" ht="12" thickBot="1">
      <c r="B264" s="26"/>
      <c r="C264" s="27"/>
      <c r="D264" s="27"/>
      <c r="E264" s="27"/>
      <c r="F264" s="27"/>
      <c r="G264" s="27"/>
      <c r="H264" s="27"/>
      <c r="I264" s="27"/>
      <c r="J264" s="28"/>
      <c r="O264" s="283"/>
      <c r="P264" s="284"/>
      <c r="Q264" s="284"/>
      <c r="R264" s="284"/>
      <c r="S264" s="285"/>
    </row>
    <row r="265" ht="12" thickBot="1"/>
    <row r="266" spans="2:19" ht="11.25">
      <c r="B266" s="17" t="s">
        <v>374</v>
      </c>
      <c r="C266" s="18">
        <f>C256+1</f>
        <v>126</v>
      </c>
      <c r="D266" s="18">
        <v>0</v>
      </c>
      <c r="E266" s="18">
        <v>0.099</v>
      </c>
      <c r="F266" s="19">
        <v>0</v>
      </c>
      <c r="G266" s="19">
        <f>1+G256</f>
        <v>126</v>
      </c>
      <c r="H266" s="18"/>
      <c r="I266" s="18">
        <v>0</v>
      </c>
      <c r="J266" s="20">
        <v>0.1</v>
      </c>
      <c r="L266" s="34">
        <f ca="1">OFFSET(RecognisedList,$G266+2,0)</f>
        <v>0</v>
      </c>
      <c r="M266" s="35">
        <f ca="1">OFFSET(RecognisedList,$G266+2,1)</f>
        <v>0</v>
      </c>
      <c r="O266" s="299">
        <v>0</v>
      </c>
      <c r="P266" s="279">
        <v>0</v>
      </c>
      <c r="Q266" s="279">
        <v>0</v>
      </c>
      <c r="R266" s="279">
        <v>0</v>
      </c>
      <c r="S266" s="280">
        <v>0</v>
      </c>
    </row>
    <row r="267" spans="2:19" ht="11.25">
      <c r="B267" s="21" t="s">
        <v>26</v>
      </c>
      <c r="C267" s="22" t="s">
        <v>11</v>
      </c>
      <c r="D267" s="22" t="s">
        <v>12</v>
      </c>
      <c r="E267" s="22" t="s">
        <v>81</v>
      </c>
      <c r="F267" s="23"/>
      <c r="G267" s="22" t="s">
        <v>26</v>
      </c>
      <c r="H267" s="22" t="s">
        <v>11</v>
      </c>
      <c r="I267" s="22" t="s">
        <v>12</v>
      </c>
      <c r="J267" s="24" t="s">
        <v>81</v>
      </c>
      <c r="L267" s="36">
        <f ca="1">OFFSET(RecognisedList,$G266+2,3)</f>
        <v>0</v>
      </c>
      <c r="M267" s="37">
        <f ca="1">OFFSET(RecognisedList,$G266+2,2)</f>
        <v>0</v>
      </c>
      <c r="O267" s="281"/>
      <c r="P267" s="278"/>
      <c r="Q267" s="278"/>
      <c r="R267" s="278"/>
      <c r="S267" s="282"/>
    </row>
    <row r="268" spans="2:19" ht="11.25">
      <c r="B268" s="21">
        <v>0</v>
      </c>
      <c r="C268" s="22">
        <v>74.6</v>
      </c>
      <c r="D268" s="22">
        <v>0.0915</v>
      </c>
      <c r="E268" s="22">
        <v>-483</v>
      </c>
      <c r="F268" s="23"/>
      <c r="G268" s="22">
        <v>0</v>
      </c>
      <c r="H268" s="22">
        <v>0</v>
      </c>
      <c r="I268" s="120">
        <v>0.1099</v>
      </c>
      <c r="J268" s="24">
        <v>0</v>
      </c>
      <c r="O268" s="281"/>
      <c r="P268" s="278"/>
      <c r="Q268" s="278"/>
      <c r="R268" s="278"/>
      <c r="S268" s="282"/>
    </row>
    <row r="269" spans="2:19" ht="11.25">
      <c r="B269" s="21">
        <v>2000</v>
      </c>
      <c r="C269" s="22">
        <v>77.2</v>
      </c>
      <c r="D269" s="22">
        <v>0.0896</v>
      </c>
      <c r="E269" s="22">
        <v>-424</v>
      </c>
      <c r="F269" s="23"/>
      <c r="G269" s="22">
        <v>2000</v>
      </c>
      <c r="H269" s="22">
        <v>0.8</v>
      </c>
      <c r="I269" s="120">
        <v>0.1089</v>
      </c>
      <c r="J269" s="24">
        <v>38.5</v>
      </c>
      <c r="O269" s="281"/>
      <c r="P269" s="278"/>
      <c r="Q269" s="278"/>
      <c r="R269" s="278"/>
      <c r="S269" s="282"/>
    </row>
    <row r="270" spans="2:19" ht="11.25">
      <c r="B270" s="21">
        <v>10000</v>
      </c>
      <c r="C270" s="22">
        <v>118.1</v>
      </c>
      <c r="D270" s="22">
        <v>0.0796</v>
      </c>
      <c r="E270" s="22">
        <v>-681</v>
      </c>
      <c r="F270" s="23"/>
      <c r="G270" s="22">
        <v>10000</v>
      </c>
      <c r="H270" s="22">
        <v>20.3</v>
      </c>
      <c r="I270" s="120">
        <v>0.1033</v>
      </c>
      <c r="J270" s="24">
        <v>-76.9</v>
      </c>
      <c r="O270" s="281"/>
      <c r="P270" s="278"/>
      <c r="Q270" s="278"/>
      <c r="R270" s="278"/>
      <c r="S270" s="282"/>
    </row>
    <row r="271" spans="2:19" ht="11.25">
      <c r="B271" s="21">
        <v>20000</v>
      </c>
      <c r="C271" s="22">
        <v>116.2</v>
      </c>
      <c r="D271" s="22">
        <v>0.0808</v>
      </c>
      <c r="E271" s="22">
        <v>-670</v>
      </c>
      <c r="F271" s="23"/>
      <c r="G271" s="22">
        <v>20000</v>
      </c>
      <c r="H271" s="22">
        <v>19.7</v>
      </c>
      <c r="I271" s="120">
        <v>0.1039</v>
      </c>
      <c r="J271" s="24">
        <v>-73.7</v>
      </c>
      <c r="O271" s="281"/>
      <c r="P271" s="278"/>
      <c r="Q271" s="278"/>
      <c r="R271" s="278"/>
      <c r="S271" s="282"/>
    </row>
    <row r="272" spans="2:19" ht="11.25">
      <c r="B272" s="21">
        <v>40000</v>
      </c>
      <c r="C272" s="22">
        <v>105.2</v>
      </c>
      <c r="D272" s="22">
        <v>0.0846</v>
      </c>
      <c r="E272" s="25">
        <v>-593</v>
      </c>
      <c r="F272" s="23"/>
      <c r="G272" s="22">
        <v>40000</v>
      </c>
      <c r="H272" s="22">
        <v>14.7</v>
      </c>
      <c r="I272" s="120">
        <v>0.106</v>
      </c>
      <c r="J272" s="29">
        <v>-39.5</v>
      </c>
      <c r="O272" s="281"/>
      <c r="P272" s="278"/>
      <c r="Q272" s="278"/>
      <c r="R272" s="278"/>
      <c r="S272" s="282"/>
    </row>
    <row r="273" spans="2:19" ht="11.25">
      <c r="B273" s="21">
        <v>80000</v>
      </c>
      <c r="C273" s="22">
        <v>103.3</v>
      </c>
      <c r="D273" s="22">
        <v>0.0852</v>
      </c>
      <c r="E273" s="22">
        <v>-580</v>
      </c>
      <c r="F273" s="23"/>
      <c r="G273" s="22">
        <v>80000</v>
      </c>
      <c r="H273" s="22">
        <v>13.8</v>
      </c>
      <c r="I273" s="120">
        <v>0.1064</v>
      </c>
      <c r="J273" s="24">
        <v>-33.4</v>
      </c>
      <c r="O273" s="281"/>
      <c r="P273" s="278"/>
      <c r="Q273" s="278"/>
      <c r="R273" s="278"/>
      <c r="S273" s="282"/>
    </row>
    <row r="274" spans="2:19" ht="12" thickBot="1">
      <c r="B274" s="26"/>
      <c r="C274" s="27"/>
      <c r="D274" s="27"/>
      <c r="E274" s="27"/>
      <c r="F274" s="27"/>
      <c r="G274" s="27"/>
      <c r="H274" s="27"/>
      <c r="I274" s="27"/>
      <c r="J274" s="28"/>
      <c r="O274" s="283"/>
      <c r="P274" s="284"/>
      <c r="Q274" s="284"/>
      <c r="R274" s="284"/>
      <c r="S274" s="285"/>
    </row>
    <row r="275" ht="12" thickBot="1"/>
    <row r="276" spans="2:19" ht="11.25">
      <c r="B276" s="319" t="s">
        <v>379</v>
      </c>
      <c r="C276" s="320">
        <f>C266+1</f>
        <v>127</v>
      </c>
      <c r="D276" s="320">
        <v>0</v>
      </c>
      <c r="E276" s="320">
        <v>0.106</v>
      </c>
      <c r="F276" s="321">
        <v>0</v>
      </c>
      <c r="G276" s="321">
        <f>1+G266</f>
        <v>127</v>
      </c>
      <c r="H276" s="320"/>
      <c r="I276" s="320">
        <v>0</v>
      </c>
      <c r="J276" s="322">
        <v>0.105</v>
      </c>
      <c r="L276" s="34">
        <f ca="1">OFFSET(RecognisedList,$G276+2,0)</f>
        <v>0</v>
      </c>
      <c r="M276" s="35">
        <f ca="1">OFFSET(RecognisedList,$G276+2,1)</f>
        <v>0</v>
      </c>
      <c r="O276" s="299">
        <v>0</v>
      </c>
      <c r="P276" s="279">
        <v>0</v>
      </c>
      <c r="Q276" s="279">
        <v>0</v>
      </c>
      <c r="R276" s="279">
        <v>0</v>
      </c>
      <c r="S276" s="280">
        <v>0</v>
      </c>
    </row>
    <row r="277" spans="2:19" ht="11.25">
      <c r="B277" s="323" t="s">
        <v>26</v>
      </c>
      <c r="C277" s="324" t="s">
        <v>11</v>
      </c>
      <c r="D277" s="324" t="s">
        <v>12</v>
      </c>
      <c r="E277" s="324" t="s">
        <v>81</v>
      </c>
      <c r="F277" s="325"/>
      <c r="G277" s="324" t="s">
        <v>26</v>
      </c>
      <c r="H277" s="324" t="s">
        <v>11</v>
      </c>
      <c r="I277" s="324" t="s">
        <v>12</v>
      </c>
      <c r="J277" s="326" t="s">
        <v>81</v>
      </c>
      <c r="L277" s="36">
        <f ca="1">OFFSET(RecognisedList,$G276+2,3)</f>
        <v>0</v>
      </c>
      <c r="M277" s="37">
        <f ca="1">OFFSET(RecognisedList,$G276+2,2)</f>
        <v>0</v>
      </c>
      <c r="O277" s="281"/>
      <c r="P277" s="278"/>
      <c r="Q277" s="278"/>
      <c r="R277" s="278"/>
      <c r="S277" s="282"/>
    </row>
    <row r="278" spans="2:19" ht="11.25">
      <c r="B278" s="323">
        <v>0</v>
      </c>
      <c r="C278" s="324">
        <v>79.8</v>
      </c>
      <c r="D278" s="324">
        <v>0.098</v>
      </c>
      <c r="E278" s="324">
        <v>-517</v>
      </c>
      <c r="F278" s="325"/>
      <c r="G278" s="324">
        <v>0</v>
      </c>
      <c r="H278" s="324">
        <v>0</v>
      </c>
      <c r="I278" s="327">
        <v>0.1154</v>
      </c>
      <c r="J278" s="326">
        <v>0</v>
      </c>
      <c r="O278" s="281"/>
      <c r="P278" s="278"/>
      <c r="Q278" s="278"/>
      <c r="R278" s="278"/>
      <c r="S278" s="282"/>
    </row>
    <row r="279" spans="2:19" ht="11.25">
      <c r="B279" s="323">
        <v>2000</v>
      </c>
      <c r="C279" s="324">
        <v>78.7</v>
      </c>
      <c r="D279" s="324">
        <v>0.0988</v>
      </c>
      <c r="E279" s="324">
        <v>-395</v>
      </c>
      <c r="F279" s="325"/>
      <c r="G279" s="324">
        <v>2000</v>
      </c>
      <c r="H279" s="324">
        <v>-0.4</v>
      </c>
      <c r="I279" s="327">
        <v>0.1158</v>
      </c>
      <c r="J279" s="326">
        <v>68.1</v>
      </c>
      <c r="O279" s="281"/>
      <c r="P279" s="278"/>
      <c r="Q279" s="278"/>
      <c r="R279" s="278"/>
      <c r="S279" s="282"/>
    </row>
    <row r="280" spans="2:19" ht="11.25">
      <c r="B280" s="323">
        <v>10000</v>
      </c>
      <c r="C280" s="324">
        <v>295.1</v>
      </c>
      <c r="D280" s="324">
        <v>0.0629</v>
      </c>
      <c r="E280" s="324">
        <v>-1813</v>
      </c>
      <c r="F280" s="325"/>
      <c r="G280" s="324">
        <v>10000</v>
      </c>
      <c r="H280" s="324">
        <v>109</v>
      </c>
      <c r="I280" s="327">
        <v>0.0943</v>
      </c>
      <c r="J280" s="326">
        <v>-613.2</v>
      </c>
      <c r="O280" s="281"/>
      <c r="P280" s="278"/>
      <c r="Q280" s="278"/>
      <c r="R280" s="278"/>
      <c r="S280" s="282"/>
    </row>
    <row r="281" spans="2:19" ht="11.25">
      <c r="B281" s="323">
        <v>20000</v>
      </c>
      <c r="C281" s="324">
        <v>351.4</v>
      </c>
      <c r="D281" s="324">
        <v>0.0717</v>
      </c>
      <c r="E281" s="324">
        <v>-2231</v>
      </c>
      <c r="F281" s="325"/>
      <c r="G281" s="324">
        <v>20000</v>
      </c>
      <c r="H281" s="324">
        <v>144.1</v>
      </c>
      <c r="I281" s="327">
        <v>0.0973</v>
      </c>
      <c r="J281" s="326">
        <v>-860</v>
      </c>
      <c r="O281" s="281"/>
      <c r="P281" s="278"/>
      <c r="Q281" s="278"/>
      <c r="R281" s="278"/>
      <c r="S281" s="282"/>
    </row>
    <row r="282" spans="2:19" ht="11.25">
      <c r="B282" s="323">
        <v>40000</v>
      </c>
      <c r="C282" s="324">
        <v>336.5</v>
      </c>
      <c r="D282" s="324">
        <v>0.0953</v>
      </c>
      <c r="E282" s="324">
        <v>-2152</v>
      </c>
      <c r="F282" s="325"/>
      <c r="G282" s="324">
        <v>40000</v>
      </c>
      <c r="H282" s="324">
        <v>144.5</v>
      </c>
      <c r="I282" s="327">
        <v>0.1088</v>
      </c>
      <c r="J282" s="328">
        <v>-874</v>
      </c>
      <c r="O282" s="281"/>
      <c r="P282" s="278"/>
      <c r="Q282" s="278"/>
      <c r="R282" s="278"/>
      <c r="S282" s="282"/>
    </row>
    <row r="283" spans="2:19" ht="11.25">
      <c r="B283" s="323">
        <v>80000</v>
      </c>
      <c r="C283" s="324">
        <v>315.2</v>
      </c>
      <c r="D283" s="324">
        <v>0.1114</v>
      </c>
      <c r="E283" s="324">
        <v>-2022</v>
      </c>
      <c r="F283" s="325"/>
      <c r="G283" s="324">
        <v>80000</v>
      </c>
      <c r="H283" s="324">
        <v>138.3</v>
      </c>
      <c r="I283" s="327">
        <v>0.1169</v>
      </c>
      <c r="J283" s="326">
        <v>-840.2</v>
      </c>
      <c r="O283" s="281"/>
      <c r="P283" s="278"/>
      <c r="Q283" s="278"/>
      <c r="R283" s="278"/>
      <c r="S283" s="282"/>
    </row>
    <row r="284" spans="2:19" ht="12" thickBot="1">
      <c r="B284" s="329"/>
      <c r="C284" s="330"/>
      <c r="D284" s="330"/>
      <c r="E284" s="330"/>
      <c r="F284" s="330"/>
      <c r="G284" s="330"/>
      <c r="H284" s="330"/>
      <c r="I284" s="330"/>
      <c r="J284" s="331"/>
      <c r="O284" s="283"/>
      <c r="P284" s="284"/>
      <c r="Q284" s="284"/>
      <c r="R284" s="284"/>
      <c r="S284" s="285"/>
    </row>
    <row r="285" spans="2:10" ht="12" thickBot="1">
      <c r="B285" s="332"/>
      <c r="C285" s="332"/>
      <c r="D285" s="332"/>
      <c r="E285" s="332"/>
      <c r="F285" s="332"/>
      <c r="G285" s="332"/>
      <c r="H285" s="332"/>
      <c r="I285" s="332"/>
      <c r="J285" s="332"/>
    </row>
    <row r="286" spans="2:19" ht="11.25">
      <c r="B286" s="319" t="s">
        <v>380</v>
      </c>
      <c r="C286" s="320">
        <f>C276+1</f>
        <v>128</v>
      </c>
      <c r="D286" s="320">
        <v>0</v>
      </c>
      <c r="E286" s="320">
        <v>0.106</v>
      </c>
      <c r="F286" s="321">
        <v>0</v>
      </c>
      <c r="G286" s="321">
        <f>1+G276</f>
        <v>128</v>
      </c>
      <c r="H286" s="320"/>
      <c r="I286" s="320">
        <v>0</v>
      </c>
      <c r="J286" s="322">
        <v>0.105</v>
      </c>
      <c r="L286" s="34">
        <f ca="1">OFFSET(RecognisedList,$G286+2,0)</f>
        <v>0</v>
      </c>
      <c r="M286" s="35">
        <f ca="1">OFFSET(RecognisedList,$G286+2,1)</f>
        <v>0</v>
      </c>
      <c r="O286" s="299">
        <v>0</v>
      </c>
      <c r="P286" s="279">
        <v>0</v>
      </c>
      <c r="Q286" s="279">
        <v>0</v>
      </c>
      <c r="R286" s="279">
        <v>0</v>
      </c>
      <c r="S286" s="280">
        <v>0</v>
      </c>
    </row>
    <row r="287" spans="2:19" ht="11.25">
      <c r="B287" s="323" t="s">
        <v>26</v>
      </c>
      <c r="C287" s="324" t="s">
        <v>11</v>
      </c>
      <c r="D287" s="324" t="s">
        <v>12</v>
      </c>
      <c r="E287" s="324" t="s">
        <v>81</v>
      </c>
      <c r="F287" s="325"/>
      <c r="G287" s="324" t="s">
        <v>26</v>
      </c>
      <c r="H287" s="324" t="s">
        <v>11</v>
      </c>
      <c r="I287" s="324" t="s">
        <v>12</v>
      </c>
      <c r="J287" s="326" t="s">
        <v>81</v>
      </c>
      <c r="L287" s="36">
        <f ca="1">OFFSET(RecognisedList,$G286+2,3)</f>
        <v>0</v>
      </c>
      <c r="M287" s="37">
        <f ca="1">OFFSET(RecognisedList,$G286+2,2)</f>
        <v>0</v>
      </c>
      <c r="O287" s="281"/>
      <c r="P287" s="278"/>
      <c r="Q287" s="278"/>
      <c r="R287" s="278"/>
      <c r="S287" s="282"/>
    </row>
    <row r="288" spans="2:19" ht="11.25">
      <c r="B288" s="323">
        <v>0</v>
      </c>
      <c r="C288" s="324">
        <f aca="true" t="shared" si="66" ref="C288:C293">ROUND(0.95*C278,1)</f>
        <v>75.8</v>
      </c>
      <c r="D288" s="324">
        <f aca="true" t="shared" si="67" ref="D288:D293">ROUND(0.95*D278,4)</f>
        <v>0.0931</v>
      </c>
      <c r="E288" s="324">
        <f aca="true" t="shared" si="68" ref="E288:E293">ROUND(0.95*E278,0)</f>
        <v>-491</v>
      </c>
      <c r="F288" s="325"/>
      <c r="G288" s="324">
        <v>0</v>
      </c>
      <c r="H288" s="324">
        <f aca="true" t="shared" si="69" ref="H288:H293">ROUND(0.95*H278,1)</f>
        <v>0</v>
      </c>
      <c r="I288" s="324">
        <f aca="true" t="shared" si="70" ref="I288:I293">ROUND(0.95*I278,4)</f>
        <v>0.1096</v>
      </c>
      <c r="J288" s="324">
        <f aca="true" t="shared" si="71" ref="J288:J293">ROUND(0.95*J278,0)</f>
        <v>0</v>
      </c>
      <c r="O288" s="281"/>
      <c r="P288" s="278"/>
      <c r="Q288" s="278"/>
      <c r="R288" s="278"/>
      <c r="S288" s="282"/>
    </row>
    <row r="289" spans="2:19" ht="11.25">
      <c r="B289" s="323">
        <v>2000</v>
      </c>
      <c r="C289" s="324">
        <f t="shared" si="66"/>
        <v>74.8</v>
      </c>
      <c r="D289" s="324">
        <f t="shared" si="67"/>
        <v>0.0939</v>
      </c>
      <c r="E289" s="324">
        <f t="shared" si="68"/>
        <v>-375</v>
      </c>
      <c r="F289" s="325"/>
      <c r="G289" s="324">
        <v>2000</v>
      </c>
      <c r="H289" s="324">
        <f t="shared" si="69"/>
        <v>-0.4</v>
      </c>
      <c r="I289" s="324">
        <f t="shared" si="70"/>
        <v>0.11</v>
      </c>
      <c r="J289" s="324">
        <f t="shared" si="71"/>
        <v>65</v>
      </c>
      <c r="O289" s="281"/>
      <c r="P289" s="278"/>
      <c r="Q289" s="278"/>
      <c r="R289" s="278"/>
      <c r="S289" s="282"/>
    </row>
    <row r="290" spans="2:19" ht="11.25">
      <c r="B290" s="323">
        <v>10000</v>
      </c>
      <c r="C290" s="324">
        <f t="shared" si="66"/>
        <v>280.3</v>
      </c>
      <c r="D290" s="324">
        <f t="shared" si="67"/>
        <v>0.0598</v>
      </c>
      <c r="E290" s="324">
        <f t="shared" si="68"/>
        <v>-1722</v>
      </c>
      <c r="F290" s="325"/>
      <c r="G290" s="324">
        <v>10000</v>
      </c>
      <c r="H290" s="324">
        <f t="shared" si="69"/>
        <v>103.6</v>
      </c>
      <c r="I290" s="324">
        <f t="shared" si="70"/>
        <v>0.0896</v>
      </c>
      <c r="J290" s="324">
        <f t="shared" si="71"/>
        <v>-583</v>
      </c>
      <c r="O290" s="281"/>
      <c r="P290" s="278"/>
      <c r="Q290" s="278"/>
      <c r="R290" s="278"/>
      <c r="S290" s="282"/>
    </row>
    <row r="291" spans="2:19" ht="11.25">
      <c r="B291" s="323">
        <v>20000</v>
      </c>
      <c r="C291" s="324">
        <f t="shared" si="66"/>
        <v>333.8</v>
      </c>
      <c r="D291" s="324">
        <f t="shared" si="67"/>
        <v>0.0681</v>
      </c>
      <c r="E291" s="324">
        <f t="shared" si="68"/>
        <v>-2119</v>
      </c>
      <c r="F291" s="325"/>
      <c r="G291" s="324">
        <v>20000</v>
      </c>
      <c r="H291" s="324">
        <f t="shared" si="69"/>
        <v>136.9</v>
      </c>
      <c r="I291" s="324">
        <f t="shared" si="70"/>
        <v>0.0924</v>
      </c>
      <c r="J291" s="324">
        <f t="shared" si="71"/>
        <v>-817</v>
      </c>
      <c r="O291" s="281"/>
      <c r="P291" s="278"/>
      <c r="Q291" s="278"/>
      <c r="R291" s="278"/>
      <c r="S291" s="282"/>
    </row>
    <row r="292" spans="2:19" ht="11.25">
      <c r="B292" s="323">
        <v>40000</v>
      </c>
      <c r="C292" s="324">
        <f t="shared" si="66"/>
        <v>319.7</v>
      </c>
      <c r="D292" s="324">
        <f t="shared" si="67"/>
        <v>0.0905</v>
      </c>
      <c r="E292" s="324">
        <f t="shared" si="68"/>
        <v>-2044</v>
      </c>
      <c r="F292" s="325"/>
      <c r="G292" s="324">
        <v>40000</v>
      </c>
      <c r="H292" s="324">
        <f t="shared" si="69"/>
        <v>137.3</v>
      </c>
      <c r="I292" s="324">
        <f t="shared" si="70"/>
        <v>0.1034</v>
      </c>
      <c r="J292" s="324">
        <f t="shared" si="71"/>
        <v>-830</v>
      </c>
      <c r="O292" s="281"/>
      <c r="P292" s="278"/>
      <c r="Q292" s="278"/>
      <c r="R292" s="278"/>
      <c r="S292" s="282"/>
    </row>
    <row r="293" spans="2:19" ht="11.25">
      <c r="B293" s="323">
        <v>80000</v>
      </c>
      <c r="C293" s="324">
        <f t="shared" si="66"/>
        <v>299.4</v>
      </c>
      <c r="D293" s="324">
        <f t="shared" si="67"/>
        <v>0.1058</v>
      </c>
      <c r="E293" s="324">
        <f t="shared" si="68"/>
        <v>-1921</v>
      </c>
      <c r="F293" s="325"/>
      <c r="G293" s="324">
        <v>80000</v>
      </c>
      <c r="H293" s="324">
        <f t="shared" si="69"/>
        <v>131.4</v>
      </c>
      <c r="I293" s="324">
        <f t="shared" si="70"/>
        <v>0.1111</v>
      </c>
      <c r="J293" s="324">
        <f t="shared" si="71"/>
        <v>-798</v>
      </c>
      <c r="O293" s="281"/>
      <c r="P293" s="278"/>
      <c r="Q293" s="278"/>
      <c r="R293" s="278"/>
      <c r="S293" s="282"/>
    </row>
    <row r="294" spans="2:19" ht="12" thickBot="1">
      <c r="B294" s="329"/>
      <c r="C294" s="330"/>
      <c r="D294" s="330"/>
      <c r="E294" s="330"/>
      <c r="F294" s="330"/>
      <c r="G294" s="330"/>
      <c r="H294" s="330"/>
      <c r="I294" s="330"/>
      <c r="J294" s="331"/>
      <c r="O294" s="283"/>
      <c r="P294" s="284"/>
      <c r="Q294" s="284"/>
      <c r="R294" s="284"/>
      <c r="S294" s="285"/>
    </row>
    <row r="295" ht="12" thickBot="1"/>
    <row r="296" spans="2:19" ht="11.25">
      <c r="B296" s="17"/>
      <c r="C296" s="18"/>
      <c r="D296" s="18"/>
      <c r="E296" s="18"/>
      <c r="F296" s="19"/>
      <c r="G296" s="19"/>
      <c r="H296" s="18"/>
      <c r="I296" s="18"/>
      <c r="J296" s="20"/>
      <c r="L296" s="34" t="str">
        <f ca="1">OFFSET(RecognisedList,$G296+2,0)</f>
        <v>UNKNOWN</v>
      </c>
      <c r="M296" s="35">
        <f ca="1">OFFSET(RecognisedList,$G296+2,1)</f>
        <v>0</v>
      </c>
      <c r="O296" s="299">
        <v>0</v>
      </c>
      <c r="P296" s="279">
        <v>0</v>
      </c>
      <c r="Q296" s="279">
        <v>0</v>
      </c>
      <c r="R296" s="279">
        <v>0</v>
      </c>
      <c r="S296" s="280">
        <v>0</v>
      </c>
    </row>
    <row r="297" spans="2:19" ht="11.25">
      <c r="B297" s="21"/>
      <c r="C297" s="22"/>
      <c r="D297" s="22"/>
      <c r="E297" s="22"/>
      <c r="F297" s="23"/>
      <c r="G297" s="22"/>
      <c r="H297" s="22"/>
      <c r="I297" s="22"/>
      <c r="J297" s="24"/>
      <c r="L297" s="36">
        <f ca="1">OFFSET(RecognisedList,$G296+2,3)</f>
        <v>0</v>
      </c>
      <c r="M297" s="37">
        <f ca="1">OFFSET(RecognisedList,$G296+2,2)</f>
        <v>0</v>
      </c>
      <c r="O297" s="281"/>
      <c r="P297" s="278"/>
      <c r="Q297" s="278"/>
      <c r="R297" s="278"/>
      <c r="S297" s="282"/>
    </row>
    <row r="298" spans="2:19" ht="11.25">
      <c r="B298" s="21"/>
      <c r="C298" s="22"/>
      <c r="D298" s="22"/>
      <c r="E298" s="22"/>
      <c r="F298" s="23"/>
      <c r="G298" s="22"/>
      <c r="H298" s="22"/>
      <c r="I298" s="120"/>
      <c r="J298" s="24"/>
      <c r="O298" s="281"/>
      <c r="P298" s="278"/>
      <c r="Q298" s="278"/>
      <c r="R298" s="278"/>
      <c r="S298" s="282"/>
    </row>
    <row r="299" spans="2:19" ht="11.25">
      <c r="B299" s="21"/>
      <c r="C299" s="22"/>
      <c r="D299" s="22"/>
      <c r="E299" s="22"/>
      <c r="F299" s="23"/>
      <c r="G299" s="22"/>
      <c r="H299" s="22"/>
      <c r="I299" s="120"/>
      <c r="J299" s="24"/>
      <c r="O299" s="281"/>
      <c r="P299" s="278"/>
      <c r="Q299" s="278"/>
      <c r="R299" s="278"/>
      <c r="S299" s="282"/>
    </row>
    <row r="300" spans="2:19" ht="11.25">
      <c r="B300" s="21"/>
      <c r="C300" s="22"/>
      <c r="D300" s="22"/>
      <c r="E300" s="22"/>
      <c r="F300" s="23"/>
      <c r="G300" s="22"/>
      <c r="H300" s="22"/>
      <c r="I300" s="120"/>
      <c r="J300" s="24"/>
      <c r="O300" s="281"/>
      <c r="P300" s="278"/>
      <c r="Q300" s="278"/>
      <c r="R300" s="278"/>
      <c r="S300" s="282"/>
    </row>
    <row r="301" spans="2:19" ht="11.25">
      <c r="B301" s="21"/>
      <c r="C301" s="22"/>
      <c r="D301" s="22"/>
      <c r="E301" s="22"/>
      <c r="F301" s="23"/>
      <c r="G301" s="22"/>
      <c r="H301" s="22"/>
      <c r="I301" s="120"/>
      <c r="J301" s="24"/>
      <c r="O301" s="281"/>
      <c r="P301" s="278"/>
      <c r="Q301" s="278"/>
      <c r="R301" s="278"/>
      <c r="S301" s="282"/>
    </row>
    <row r="302" spans="2:19" ht="11.25">
      <c r="B302" s="21"/>
      <c r="C302" s="22"/>
      <c r="D302" s="22"/>
      <c r="E302" s="22"/>
      <c r="F302" s="23"/>
      <c r="G302" s="22"/>
      <c r="H302" s="22"/>
      <c r="I302" s="120"/>
      <c r="J302" s="29"/>
      <c r="O302" s="281"/>
      <c r="P302" s="278"/>
      <c r="Q302" s="278"/>
      <c r="R302" s="278"/>
      <c r="S302" s="282"/>
    </row>
    <row r="303" spans="2:19" ht="11.25">
      <c r="B303" s="21"/>
      <c r="C303" s="22"/>
      <c r="D303" s="22"/>
      <c r="E303" s="22"/>
      <c r="F303" s="23"/>
      <c r="G303" s="22"/>
      <c r="H303" s="22"/>
      <c r="I303" s="120"/>
      <c r="J303" s="24"/>
      <c r="O303" s="281"/>
      <c r="P303" s="278"/>
      <c r="Q303" s="278"/>
      <c r="R303" s="278"/>
      <c r="S303" s="282"/>
    </row>
    <row r="304" spans="2:19" ht="12" thickBot="1">
      <c r="B304" s="26"/>
      <c r="C304" s="27"/>
      <c r="D304" s="27"/>
      <c r="E304" s="27"/>
      <c r="F304" s="27"/>
      <c r="G304" s="27"/>
      <c r="H304" s="27"/>
      <c r="I304" s="27"/>
      <c r="J304" s="28"/>
      <c r="O304" s="283"/>
      <c r="P304" s="284"/>
      <c r="Q304" s="284"/>
      <c r="R304" s="284"/>
      <c r="S304" s="285"/>
    </row>
  </sheetData>
  <sheetProtection password="EE41" sheet="1" selectLockedCells="1" selectUnlockedCells="1"/>
  <mergeCells count="3">
    <mergeCell ref="B1:J1"/>
    <mergeCell ref="B3:J3"/>
    <mergeCell ref="B2:J2"/>
  </mergeCells>
  <printOptions/>
  <pageMargins left="0.75" right="0.75" top="1" bottom="1" header="0.5" footer="0.5"/>
  <pageSetup horizontalDpi="600" verticalDpi="600" orientation="portrait" paperSize="9" r:id="rId1"/>
  <headerFooter alignWithMargins="0">
    <oddFooter>&amp;L&amp;[Date&amp;F  &amp;A&amp;R&amp;D  &amp;T</oddFooter>
  </headerFooter>
</worksheet>
</file>

<file path=xl/worksheets/sheet6.xml><?xml version="1.0" encoding="utf-8"?>
<worksheet xmlns="http://schemas.openxmlformats.org/spreadsheetml/2006/main" xmlns:r="http://schemas.openxmlformats.org/officeDocument/2006/relationships">
  <dimension ref="B1:G57"/>
  <sheetViews>
    <sheetView showGridLines="0" zoomScalePageLayoutView="0" workbookViewId="0" topLeftCell="B1">
      <selection activeCell="E33" sqref="E33"/>
    </sheetView>
  </sheetViews>
  <sheetFormatPr defaultColWidth="20.66015625" defaultRowHeight="11.25"/>
  <cols>
    <col min="1" max="1" width="5.5" style="185" customWidth="1"/>
    <col min="2" max="2" width="62.5" style="185" customWidth="1"/>
    <col min="3" max="3" width="20.66015625" style="185" customWidth="1"/>
    <col min="4" max="4" width="14.16015625" style="185" customWidth="1"/>
    <col min="5" max="5" width="108" style="185" customWidth="1"/>
    <col min="6" max="16384" width="20.66015625" style="185" customWidth="1"/>
  </cols>
  <sheetData>
    <row r="1" spans="6:7" ht="12.75">
      <c r="F1" s="220" t="s">
        <v>238</v>
      </c>
      <c r="G1" s="220"/>
    </row>
    <row r="2" spans="2:7" ht="12.75">
      <c r="B2" s="188" t="s">
        <v>223</v>
      </c>
      <c r="C2" s="186"/>
      <c r="D2" s="186"/>
      <c r="E2" s="186"/>
      <c r="F2" s="220" t="s">
        <v>232</v>
      </c>
      <c r="G2" s="220" t="s">
        <v>231</v>
      </c>
    </row>
    <row r="3" spans="2:7" ht="12.75">
      <c r="B3" s="186" t="s">
        <v>217</v>
      </c>
      <c r="C3" s="187">
        <f ca="1">INDIRECT("FGHRS_tables!"&amp;"d"&amp;(Pindex*10+6))</f>
        <v>0</v>
      </c>
      <c r="D3" s="186" t="s">
        <v>144</v>
      </c>
      <c r="E3" s="186" t="s">
        <v>225</v>
      </c>
      <c r="F3" s="220">
        <v>-30</v>
      </c>
      <c r="G3" s="220">
        <v>0</v>
      </c>
    </row>
    <row r="4" spans="2:7" ht="12.75">
      <c r="B4" s="186" t="s">
        <v>218</v>
      </c>
      <c r="C4" s="187">
        <f>0.6*0.9</f>
        <v>0.54</v>
      </c>
      <c r="D4" s="186" t="s">
        <v>159</v>
      </c>
      <c r="E4" s="186" t="s">
        <v>198</v>
      </c>
      <c r="F4" s="220">
        <v>1</v>
      </c>
      <c r="G4" s="220">
        <v>0</v>
      </c>
    </row>
    <row r="5" spans="2:7" ht="12.75">
      <c r="B5" s="186" t="s">
        <v>141</v>
      </c>
      <c r="C5" s="187">
        <v>0</v>
      </c>
      <c r="D5" s="186" t="s">
        <v>145</v>
      </c>
      <c r="E5" s="186" t="s">
        <v>142</v>
      </c>
      <c r="F5" s="220">
        <v>1.5</v>
      </c>
      <c r="G5" s="220">
        <v>30</v>
      </c>
    </row>
    <row r="6" spans="2:7" ht="12.75">
      <c r="B6" s="186" t="s">
        <v>224</v>
      </c>
      <c r="C6" s="187">
        <f ca="1">INDIRECT("FGHRS_tables!"&amp;"f"&amp;(Pindex*10+6))</f>
        <v>0</v>
      </c>
      <c r="D6" s="186" t="s">
        <v>146</v>
      </c>
      <c r="E6" s="186" t="s">
        <v>199</v>
      </c>
      <c r="F6" s="220">
        <v>2</v>
      </c>
      <c r="G6" s="220">
        <v>60</v>
      </c>
    </row>
    <row r="7" spans="2:7" ht="12.75">
      <c r="B7" s="186" t="s">
        <v>147</v>
      </c>
      <c r="C7" s="187">
        <f>25*N+38</f>
        <v>38</v>
      </c>
      <c r="D7" s="186" t="s">
        <v>148</v>
      </c>
      <c r="E7" s="186" t="s">
        <v>139</v>
      </c>
      <c r="F7" s="220">
        <v>2.5</v>
      </c>
      <c r="G7" s="220">
        <v>95</v>
      </c>
    </row>
    <row r="8" spans="2:7" ht="12.75">
      <c r="B8" s="188" t="s">
        <v>219</v>
      </c>
      <c r="C8" s="187">
        <f>IF(AND(CCVol&lt;55,CCVol&gt;15),(600-(CCVol-15)*15-Qc),0)*MIN(1,C7/100)</f>
        <v>0</v>
      </c>
      <c r="D8" s="186" t="s">
        <v>145</v>
      </c>
      <c r="E8" s="186" t="s">
        <v>149</v>
      </c>
      <c r="F8" s="220">
        <v>3</v>
      </c>
      <c r="G8" s="220">
        <v>125</v>
      </c>
    </row>
    <row r="9" spans="2:7" ht="12.75">
      <c r="B9" s="205" t="s">
        <v>222</v>
      </c>
      <c r="C9" s="187">
        <f>C3*ccTfactor*365</f>
        <v>0</v>
      </c>
      <c r="D9" s="186" t="s">
        <v>145</v>
      </c>
      <c r="E9" s="186" t="s">
        <v>220</v>
      </c>
      <c r="F9" s="220">
        <v>3.5</v>
      </c>
      <c r="G9" s="220">
        <v>150</v>
      </c>
    </row>
    <row r="10" spans="2:7" ht="12.75">
      <c r="B10" s="186"/>
      <c r="C10" s="186"/>
      <c r="D10" s="186"/>
      <c r="E10" s="186"/>
      <c r="F10" s="220">
        <v>4</v>
      </c>
      <c r="G10" s="220">
        <v>185</v>
      </c>
    </row>
    <row r="11" spans="2:7" ht="12.75">
      <c r="B11" s="188" t="s">
        <v>284</v>
      </c>
      <c r="C11" s="187">
        <f>(C9+C8-PVsolar)/0.91</f>
        <v>0</v>
      </c>
      <c r="D11" s="186"/>
      <c r="E11" s="186" t="s">
        <v>230</v>
      </c>
      <c r="F11" s="220">
        <v>4.5</v>
      </c>
      <c r="G11" s="220">
        <v>220</v>
      </c>
    </row>
    <row r="12" spans="2:7" ht="12.75">
      <c r="B12" s="188" t="s">
        <v>285</v>
      </c>
      <c r="C12" s="187">
        <f>((0.8*(ccqst+PVgains))+(0.25*C8))*1000/(365*24)</f>
        <v>0</v>
      </c>
      <c r="D12" s="186" t="s">
        <v>155</v>
      </c>
      <c r="E12" s="186" t="s">
        <v>143</v>
      </c>
      <c r="F12" s="220">
        <v>5</v>
      </c>
      <c r="G12" s="220">
        <v>265</v>
      </c>
    </row>
    <row r="13" spans="6:7" ht="12.75">
      <c r="F13" s="220">
        <v>5.5</v>
      </c>
      <c r="G13" s="220">
        <v>310</v>
      </c>
    </row>
    <row r="14" spans="6:7" ht="12.75">
      <c r="F14" s="220">
        <v>6</v>
      </c>
      <c r="G14" s="220">
        <v>360</v>
      </c>
    </row>
    <row r="15" spans="2:7" ht="12.75">
      <c r="B15" s="188" t="s">
        <v>196</v>
      </c>
      <c r="C15" s="186"/>
      <c r="D15" s="186"/>
      <c r="E15" s="186"/>
      <c r="F15" s="220">
        <v>6.5</v>
      </c>
      <c r="G15" s="220">
        <v>420</v>
      </c>
    </row>
    <row r="16" spans="2:7" ht="12.75">
      <c r="B16" s="186" t="s">
        <v>130</v>
      </c>
      <c r="C16" s="187">
        <f>Gains/Loss</f>
        <v>10</v>
      </c>
      <c r="D16" s="186" t="s">
        <v>156</v>
      </c>
      <c r="E16" s="186" t="s">
        <v>168</v>
      </c>
      <c r="F16" s="220">
        <v>7</v>
      </c>
      <c r="G16" s="220">
        <v>480</v>
      </c>
    </row>
    <row r="17" spans="2:7" ht="12.75">
      <c r="B17" s="186" t="s">
        <v>162</v>
      </c>
      <c r="C17" s="187">
        <f>1-EXP(-18/C16)</f>
        <v>0.8347011117784134</v>
      </c>
      <c r="D17" s="186" t="s">
        <v>159</v>
      </c>
      <c r="E17" s="186" t="s">
        <v>169</v>
      </c>
      <c r="F17" s="220">
        <v>7.5</v>
      </c>
      <c r="G17" s="220">
        <v>550</v>
      </c>
    </row>
    <row r="18" spans="2:7" ht="12.75">
      <c r="B18" s="186" t="s">
        <v>131</v>
      </c>
      <c r="C18" s="187">
        <f>Gains*C17</f>
        <v>1669.4022235568268</v>
      </c>
      <c r="D18" s="186" t="s">
        <v>155</v>
      </c>
      <c r="E18" s="186" t="s">
        <v>170</v>
      </c>
      <c r="F18" s="220">
        <v>8</v>
      </c>
      <c r="G18" s="220">
        <v>620</v>
      </c>
    </row>
    <row r="19" spans="2:7" ht="12.75">
      <c r="B19" s="186" t="s">
        <v>140</v>
      </c>
      <c r="C19" s="187">
        <f>C18/Loss</f>
        <v>8.347011117784135</v>
      </c>
      <c r="D19" s="186" t="s">
        <v>156</v>
      </c>
      <c r="E19" s="186" t="s">
        <v>171</v>
      </c>
      <c r="F19" s="220">
        <v>8.5</v>
      </c>
      <c r="G19" s="220">
        <v>695</v>
      </c>
    </row>
    <row r="20" spans="2:7" ht="12.75">
      <c r="B20" s="186" t="s">
        <v>151</v>
      </c>
      <c r="C20" s="186">
        <f>Qusp</f>
        <v>0</v>
      </c>
      <c r="D20" s="187" t="s">
        <v>145</v>
      </c>
      <c r="E20" s="186" t="s">
        <v>172</v>
      </c>
      <c r="F20" s="220">
        <v>9</v>
      </c>
      <c r="G20" s="220">
        <v>775</v>
      </c>
    </row>
    <row r="21" spans="2:7" ht="12.75">
      <c r="B21" s="186" t="s">
        <v>138</v>
      </c>
      <c r="C21" s="186">
        <f>C20/(0.024*Loss)</f>
        <v>0</v>
      </c>
      <c r="D21" s="186" t="s">
        <v>163</v>
      </c>
      <c r="E21" s="186" t="s">
        <v>179</v>
      </c>
      <c r="F21" s="220">
        <v>9.5</v>
      </c>
      <c r="G21" s="220">
        <v>860</v>
      </c>
    </row>
    <row r="22" spans="2:7" ht="12.75">
      <c r="B22" s="186" t="s">
        <v>165</v>
      </c>
      <c r="C22" s="186">
        <f>MATCH(C21,G2:G57,1)</f>
        <v>3</v>
      </c>
      <c r="D22" s="186" t="s">
        <v>158</v>
      </c>
      <c r="E22" s="186" t="s">
        <v>166</v>
      </c>
      <c r="F22" s="220">
        <v>10</v>
      </c>
      <c r="G22" s="220">
        <v>950</v>
      </c>
    </row>
    <row r="23" spans="2:7" ht="12.75">
      <c r="B23" s="186" t="s">
        <v>164</v>
      </c>
      <c r="C23" s="186">
        <f>(C21-INDEX(G2:G57,C22))/(INDEX(G2:G57,C22+1)-INDEX(G2:G57,C22))</f>
        <v>0</v>
      </c>
      <c r="D23" s="186" t="s">
        <v>159</v>
      </c>
      <c r="E23" s="186" t="s">
        <v>173</v>
      </c>
      <c r="F23" s="220">
        <v>10.5</v>
      </c>
      <c r="G23" s="220">
        <v>1045</v>
      </c>
    </row>
    <row r="24" spans="2:7" ht="12.75">
      <c r="B24" s="186" t="s">
        <v>167</v>
      </c>
      <c r="C24" s="186">
        <f>INDEX(F2:F57,C22)*(1-C23)+INDEX(F2:F57,C22+1)*C23</f>
        <v>1</v>
      </c>
      <c r="D24" s="186" t="s">
        <v>157</v>
      </c>
      <c r="E24" s="186" t="s">
        <v>180</v>
      </c>
      <c r="F24" s="220">
        <v>11</v>
      </c>
      <c r="G24" s="220">
        <v>1140</v>
      </c>
    </row>
    <row r="25" spans="2:7" ht="12.75">
      <c r="B25" s="186" t="s">
        <v>182</v>
      </c>
      <c r="C25" s="187">
        <f>C24+C19</f>
        <v>9.347011117784135</v>
      </c>
      <c r="D25" s="186" t="s">
        <v>157</v>
      </c>
      <c r="E25" s="186" t="s">
        <v>181</v>
      </c>
      <c r="F25" s="220">
        <v>11.5</v>
      </c>
      <c r="G25" s="220">
        <v>1240</v>
      </c>
    </row>
    <row r="26" spans="6:7" ht="12.75">
      <c r="F26" s="220">
        <v>12</v>
      </c>
      <c r="G26" s="220">
        <v>1345</v>
      </c>
    </row>
    <row r="27" spans="2:7" ht="12.75">
      <c r="B27" s="188" t="s">
        <v>235</v>
      </c>
      <c r="C27" s="186">
        <f>17.88+(C19-4)*0.2-3</f>
        <v>15.749402223556825</v>
      </c>
      <c r="D27" s="186" t="s">
        <v>157</v>
      </c>
      <c r="E27" s="186" t="s">
        <v>237</v>
      </c>
      <c r="F27" s="220">
        <v>12.5</v>
      </c>
      <c r="G27" s="220">
        <v>1450</v>
      </c>
    </row>
    <row r="28" spans="2:7" ht="12.75">
      <c r="B28" s="188" t="s">
        <v>236</v>
      </c>
      <c r="C28" s="186">
        <f>18.88+(C19-4)*0.2-0.4</f>
        <v>19.349402223556826</v>
      </c>
      <c r="D28" s="186" t="s">
        <v>157</v>
      </c>
      <c r="E28" s="186" t="s">
        <v>237</v>
      </c>
      <c r="F28" s="220">
        <v>13</v>
      </c>
      <c r="G28" s="220">
        <v>1560</v>
      </c>
    </row>
    <row r="29" spans="2:7" ht="12.75">
      <c r="B29" s="188"/>
      <c r="C29" s="186"/>
      <c r="D29" s="186"/>
      <c r="E29" s="186"/>
      <c r="F29" s="220"/>
      <c r="G29" s="220"/>
    </row>
    <row r="30" spans="6:7" ht="12.75">
      <c r="F30" s="220">
        <v>14</v>
      </c>
      <c r="G30" s="220">
        <v>1780</v>
      </c>
    </row>
    <row r="31" spans="2:7" ht="12.75">
      <c r="B31" s="188" t="s">
        <v>221</v>
      </c>
      <c r="C31" s="186"/>
      <c r="D31" s="186"/>
      <c r="E31" s="186"/>
      <c r="F31" s="220">
        <v>14.5</v>
      </c>
      <c r="G31" s="220">
        <v>1900</v>
      </c>
    </row>
    <row r="32" spans="2:7" ht="12.75">
      <c r="B32" s="186" t="s">
        <v>132</v>
      </c>
      <c r="C32" s="187">
        <f>C12+Gains</f>
        <v>2000</v>
      </c>
      <c r="D32" s="186" t="s">
        <v>155</v>
      </c>
      <c r="E32" s="186" t="s">
        <v>174</v>
      </c>
      <c r="F32" s="220">
        <v>15</v>
      </c>
      <c r="G32" s="220">
        <v>2015</v>
      </c>
    </row>
    <row r="33" spans="2:7" ht="12.75">
      <c r="B33" s="186" t="s">
        <v>134</v>
      </c>
      <c r="C33" s="187">
        <f>C32/Loss</f>
        <v>10</v>
      </c>
      <c r="D33" s="186" t="s">
        <v>156</v>
      </c>
      <c r="E33" s="186" t="s">
        <v>168</v>
      </c>
      <c r="F33" s="220">
        <v>15.5</v>
      </c>
      <c r="G33" s="220">
        <v>2130</v>
      </c>
    </row>
    <row r="34" spans="2:7" ht="12.75">
      <c r="B34" s="186" t="s">
        <v>133</v>
      </c>
      <c r="C34" s="187">
        <f>1-EXP(-18/C33)</f>
        <v>0.8347011117784134</v>
      </c>
      <c r="D34" s="186" t="s">
        <v>161</v>
      </c>
      <c r="E34" s="186" t="s">
        <v>169</v>
      </c>
      <c r="F34" s="220">
        <v>16</v>
      </c>
      <c r="G34" s="220">
        <v>2250</v>
      </c>
    </row>
    <row r="35" spans="2:7" ht="12.75">
      <c r="B35" s="186" t="s">
        <v>136</v>
      </c>
      <c r="C35" s="187">
        <f>C32*C34</f>
        <v>1669.4022235568268</v>
      </c>
      <c r="D35" s="186" t="s">
        <v>155</v>
      </c>
      <c r="E35" s="186" t="s">
        <v>170</v>
      </c>
      <c r="F35" s="220">
        <v>16.5</v>
      </c>
      <c r="G35" s="220">
        <v>2370</v>
      </c>
    </row>
    <row r="36" spans="2:7" ht="12.75">
      <c r="B36" s="186" t="s">
        <v>137</v>
      </c>
      <c r="C36" s="187">
        <f>C35/Loss</f>
        <v>8.347011117784135</v>
      </c>
      <c r="D36" s="186" t="s">
        <v>156</v>
      </c>
      <c r="E36" s="186" t="s">
        <v>171</v>
      </c>
      <c r="F36" s="220">
        <v>17</v>
      </c>
      <c r="G36" s="220">
        <v>2490</v>
      </c>
    </row>
    <row r="37" spans="2:7" ht="12.75">
      <c r="B37" s="186" t="s">
        <v>135</v>
      </c>
      <c r="C37" s="187">
        <f>C25+0.2*(C36-C19)</f>
        <v>9.347011117784135</v>
      </c>
      <c r="D37" s="186" t="s">
        <v>157</v>
      </c>
      <c r="E37" s="186" t="s">
        <v>178</v>
      </c>
      <c r="F37" s="220">
        <v>17.5</v>
      </c>
      <c r="G37" s="220">
        <v>2610</v>
      </c>
    </row>
    <row r="38" spans="2:7" ht="12.75">
      <c r="B38" s="186" t="s">
        <v>152</v>
      </c>
      <c r="C38" s="187">
        <f>C37-C36</f>
        <v>1</v>
      </c>
      <c r="D38" s="186" t="s">
        <v>157</v>
      </c>
      <c r="E38" s="186" t="s">
        <v>176</v>
      </c>
      <c r="F38" s="220">
        <v>18</v>
      </c>
      <c r="G38" s="220">
        <v>2730</v>
      </c>
    </row>
    <row r="39" spans="2:7" ht="12.75">
      <c r="B39" s="186" t="s">
        <v>150</v>
      </c>
      <c r="C39" s="189">
        <f>MATCH(C38,F2:F57,1)</f>
        <v>3</v>
      </c>
      <c r="D39" s="186" t="s">
        <v>158</v>
      </c>
      <c r="E39" s="186" t="s">
        <v>177</v>
      </c>
      <c r="F39" s="220">
        <v>18.5</v>
      </c>
      <c r="G39" s="220">
        <v>2850</v>
      </c>
    </row>
    <row r="40" spans="2:7" ht="12.75">
      <c r="B40" s="186" t="s">
        <v>153</v>
      </c>
      <c r="C40" s="187">
        <f>(C38-INDEX(F2:F57,C39))/(INDEX(F2:F57,C39+1)-INDEX(F2:F57,C39))</f>
        <v>0</v>
      </c>
      <c r="D40" s="186" t="s">
        <v>161</v>
      </c>
      <c r="E40" s="186" t="s">
        <v>177</v>
      </c>
      <c r="F40" s="220">
        <v>19</v>
      </c>
      <c r="G40" s="220">
        <v>2970</v>
      </c>
    </row>
    <row r="41" spans="2:7" ht="12.75">
      <c r="B41" s="186" t="s">
        <v>154</v>
      </c>
      <c r="C41" s="186">
        <f>INDEX(G2:G57,C39)*(1-C40)+INDEX(G2:G57,C39+1)*C40</f>
        <v>0</v>
      </c>
      <c r="D41" s="186" t="s">
        <v>160</v>
      </c>
      <c r="E41" s="186" t="s">
        <v>177</v>
      </c>
      <c r="F41" s="220">
        <v>19.5</v>
      </c>
      <c r="G41" s="220">
        <v>3090</v>
      </c>
    </row>
    <row r="42" spans="2:7" ht="12.75">
      <c r="B42" s="186" t="s">
        <v>175</v>
      </c>
      <c r="C42" s="186">
        <f>C41*Loss*0.024</f>
        <v>0</v>
      </c>
      <c r="D42" s="186" t="s">
        <v>145</v>
      </c>
      <c r="E42" s="186" t="s">
        <v>203</v>
      </c>
      <c r="F42" s="220">
        <v>20</v>
      </c>
      <c r="G42" s="220">
        <v>3210</v>
      </c>
    </row>
    <row r="43" spans="2:7" ht="12.75">
      <c r="B43" s="186" t="s">
        <v>188</v>
      </c>
      <c r="C43" s="186">
        <f>(C42-C20)</f>
        <v>0</v>
      </c>
      <c r="D43" s="186" t="s">
        <v>145</v>
      </c>
      <c r="E43" s="186" t="s">
        <v>229</v>
      </c>
      <c r="F43" s="220">
        <v>20.5</v>
      </c>
      <c r="G43" s="220">
        <v>3330</v>
      </c>
    </row>
    <row r="44" spans="2:7" ht="12.75">
      <c r="B44" s="186" t="s">
        <v>197</v>
      </c>
      <c r="C44" s="186">
        <f>C43*(1-Fr)/(0.01*eff)</f>
        <v>0</v>
      </c>
      <c r="D44" s="186" t="s">
        <v>145</v>
      </c>
      <c r="E44" s="186" t="s">
        <v>229</v>
      </c>
      <c r="F44" s="220">
        <f>F43+0.5</f>
        <v>21</v>
      </c>
      <c r="G44" s="220">
        <f>((F44-F43)/0.5)*120+G43</f>
        <v>3450</v>
      </c>
    </row>
    <row r="45" spans="2:7" ht="12.75">
      <c r="B45" s="186" t="s">
        <v>201</v>
      </c>
      <c r="C45" s="219" t="e">
        <f>C43*Fr/C20</f>
        <v>#DIV/0!</v>
      </c>
      <c r="D45" s="186" t="s">
        <v>145</v>
      </c>
      <c r="E45" s="186" t="s">
        <v>202</v>
      </c>
      <c r="F45" s="220">
        <f aca="true" t="shared" si="0" ref="F45:F57">F44+0.5</f>
        <v>21.5</v>
      </c>
      <c r="G45" s="220">
        <f>((F45-F44)/0.5)*120+G44</f>
        <v>3570</v>
      </c>
    </row>
    <row r="46" spans="2:7" ht="12.75">
      <c r="B46" s="186" t="s">
        <v>233</v>
      </c>
      <c r="C46" s="187">
        <f>C44+C11</f>
        <v>0</v>
      </c>
      <c r="D46" s="186" t="s">
        <v>145</v>
      </c>
      <c r="E46" s="186" t="s">
        <v>200</v>
      </c>
      <c r="F46" s="220">
        <f t="shared" si="0"/>
        <v>22</v>
      </c>
      <c r="G46" s="220">
        <f aca="true" t="shared" si="1" ref="G46:G57">((F46-F45)/0.5)*120+G45</f>
        <v>3690</v>
      </c>
    </row>
    <row r="47" spans="6:7" ht="12.75">
      <c r="F47" s="220">
        <f t="shared" si="0"/>
        <v>22.5</v>
      </c>
      <c r="G47" s="220">
        <f t="shared" si="1"/>
        <v>3810</v>
      </c>
    </row>
    <row r="48" spans="6:7" ht="12.75">
      <c r="F48" s="220">
        <f t="shared" si="0"/>
        <v>23</v>
      </c>
      <c r="G48" s="220">
        <f t="shared" si="1"/>
        <v>3930</v>
      </c>
    </row>
    <row r="49" spans="6:7" ht="12.75">
      <c r="F49" s="220">
        <f t="shared" si="0"/>
        <v>23.5</v>
      </c>
      <c r="G49" s="220">
        <f t="shared" si="1"/>
        <v>4050</v>
      </c>
    </row>
    <row r="50" spans="6:7" ht="12.75">
      <c r="F50" s="220">
        <f t="shared" si="0"/>
        <v>24</v>
      </c>
      <c r="G50" s="220">
        <f t="shared" si="1"/>
        <v>4170</v>
      </c>
    </row>
    <row r="51" spans="6:7" ht="12.75">
      <c r="F51" s="220">
        <f t="shared" si="0"/>
        <v>24.5</v>
      </c>
      <c r="G51" s="220">
        <f t="shared" si="1"/>
        <v>4290</v>
      </c>
    </row>
    <row r="52" spans="6:7" ht="12.75">
      <c r="F52" s="220">
        <f t="shared" si="0"/>
        <v>25</v>
      </c>
      <c r="G52" s="220">
        <f t="shared" si="1"/>
        <v>4410</v>
      </c>
    </row>
    <row r="53" spans="6:7" ht="12.75">
      <c r="F53" s="220">
        <f t="shared" si="0"/>
        <v>25.5</v>
      </c>
      <c r="G53" s="220">
        <f t="shared" si="1"/>
        <v>4530</v>
      </c>
    </row>
    <row r="54" spans="6:7" ht="12.75">
      <c r="F54" s="220">
        <f t="shared" si="0"/>
        <v>26</v>
      </c>
      <c r="G54" s="220">
        <f t="shared" si="1"/>
        <v>4650</v>
      </c>
    </row>
    <row r="55" spans="6:7" ht="12.75">
      <c r="F55" s="220">
        <f t="shared" si="0"/>
        <v>26.5</v>
      </c>
      <c r="G55" s="220">
        <f t="shared" si="1"/>
        <v>4770</v>
      </c>
    </row>
    <row r="56" spans="6:7" ht="12.75">
      <c r="F56" s="220">
        <f t="shared" si="0"/>
        <v>27</v>
      </c>
      <c r="G56" s="220">
        <f t="shared" si="1"/>
        <v>4890</v>
      </c>
    </row>
    <row r="57" spans="6:7" ht="12.75">
      <c r="F57" s="220">
        <f t="shared" si="0"/>
        <v>27.5</v>
      </c>
      <c r="G57" s="220">
        <f t="shared" si="1"/>
        <v>5010</v>
      </c>
    </row>
  </sheetData>
  <sheetProtection password="EE41" sheet="1" selectLockedCells="1" selectUnlockedCells="1"/>
  <conditionalFormatting sqref="C16:C46">
    <cfRule type="expression" priority="1" dxfId="4" stopIfTrue="1">
      <formula>NOT(ISNUMBER(C16))</formula>
    </cfRule>
  </conditionalFormatting>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A12"/>
  <sheetViews>
    <sheetView zoomScalePageLayoutView="0" workbookViewId="0" topLeftCell="A1">
      <selection activeCell="J23" sqref="J23"/>
    </sheetView>
  </sheetViews>
  <sheetFormatPr defaultColWidth="9.33203125" defaultRowHeight="11.25"/>
  <sheetData>
    <row r="1" ht="11.25">
      <c r="A1" t="s">
        <v>364</v>
      </c>
    </row>
    <row r="2" ht="11.25">
      <c r="A2" t="s">
        <v>367</v>
      </c>
    </row>
    <row r="4" ht="11.25">
      <c r="A4" s="8" t="s">
        <v>363</v>
      </c>
    </row>
    <row r="6" ht="11.25">
      <c r="A6" s="8" t="s">
        <v>365</v>
      </c>
    </row>
    <row r="8" ht="11.25">
      <c r="A8" s="335" t="s">
        <v>378</v>
      </c>
    </row>
    <row r="10" ht="11.25">
      <c r="A10" s="336" t="s">
        <v>381</v>
      </c>
    </row>
    <row r="12" ht="11.25">
      <c r="A12" s="335" t="s">
        <v>377</v>
      </c>
    </row>
  </sheetData>
  <sheetProtection password="EE41"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PFGHRD</dc:title>
  <dc:subject/>
  <dc:creator>John Hayton + Bruce Young</dc:creator>
  <cp:keywords/>
  <dc:description/>
  <cp:lastModifiedBy>GriffithsW</cp:lastModifiedBy>
  <cp:lastPrinted>2008-04-26T16:42:07Z</cp:lastPrinted>
  <dcterms:created xsi:type="dcterms:W3CDTF">2006-04-28T09:06:45Z</dcterms:created>
  <dcterms:modified xsi:type="dcterms:W3CDTF">2011-12-19T13:12:47Z</dcterms:modified>
  <cp:category/>
  <cp:version/>
  <cp:contentType/>
  <cp:contentStatus/>
</cp:coreProperties>
</file>